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ba.usr.bpba\files\1296BancadeInversion\EMISIONES\ALBANESI\ON GEMSA Cierre Ciclo CT Ezeiza Julio 2021\Micrositio\"/>
    </mc:Choice>
  </mc:AlternateContent>
  <workbookProtection workbookAlgorithmName="SHA-512" workbookHashValue="aB7Zy3Sct7/rl0qGd1fhodLs/9lbZmyARL85f7BpfZSCLD2WormLwEbr2+M0I2ysslCQpjzos+oCk7XDxKrSWA==" workbookSaltValue="qYja4gWFkIx18iLhfMQHOg==" workbookSpinCount="100000" lockStructure="1"/>
  <bookViews>
    <workbookView xWindow="0" yWindow="0" windowWidth="30540" windowHeight="9390" tabRatio="848" firstSheet="2" activeTab="2"/>
  </bookViews>
  <sheets>
    <sheet name="Interpolacion Curva" sheetId="26" state="hidden" r:id="rId1"/>
    <sheet name="Interpolacion" sheetId="24" state="hidden" r:id="rId2"/>
    <sheet name="GEMSA" sheetId="15" r:id="rId3"/>
    <sheet name="Clase XIV" sheetId="21" state="hidden" r:id="rId4"/>
    <sheet name="Clase XV" sheetId="22" r:id="rId5"/>
    <sheet name="Clase XVI" sheetId="25" r:id="rId6"/>
  </sheets>
  <calcPr calcId="162913"/>
</workbook>
</file>

<file path=xl/calcChain.xml><?xml version="1.0" encoding="utf-8"?>
<calcChain xmlns="http://schemas.openxmlformats.org/spreadsheetml/2006/main">
  <c r="D7" i="15" l="1"/>
  <c r="E9" i="22"/>
  <c r="D10" i="25"/>
  <c r="E6" i="22"/>
  <c r="E7" i="22" s="1"/>
  <c r="E8" i="22" s="1"/>
  <c r="B23" i="21" l="1"/>
  <c r="B24" i="21" s="1"/>
  <c r="C3" i="25"/>
  <c r="C3" i="22"/>
  <c r="C3" i="21"/>
  <c r="H75" i="25" l="1"/>
  <c r="M9" i="25"/>
  <c r="M8" i="25"/>
  <c r="C8" i="25"/>
  <c r="M7" i="25"/>
  <c r="M6" i="25"/>
  <c r="M5" i="25"/>
  <c r="I4" i="25"/>
  <c r="A2" i="25"/>
  <c r="G67" i="25" l="1"/>
  <c r="G74" i="25"/>
  <c r="G66" i="25"/>
  <c r="G73" i="25"/>
  <c r="G65" i="25"/>
  <c r="G57" i="25"/>
  <c r="G49" i="25"/>
  <c r="G41" i="25"/>
  <c r="G33" i="25"/>
  <c r="G72" i="25"/>
  <c r="G64" i="25"/>
  <c r="G56" i="25"/>
  <c r="G48" i="25"/>
  <c r="G71" i="25"/>
  <c r="G70" i="25"/>
  <c r="G62" i="25"/>
  <c r="G54" i="25"/>
  <c r="G46" i="25"/>
  <c r="G38" i="25"/>
  <c r="G30" i="25"/>
  <c r="G69" i="25"/>
  <c r="G61" i="25"/>
  <c r="G53" i="25"/>
  <c r="G45" i="25"/>
  <c r="G37" i="25"/>
  <c r="G29" i="25"/>
  <c r="G68" i="25"/>
  <c r="G51" i="25"/>
  <c r="G43" i="25"/>
  <c r="G21" i="25"/>
  <c r="G58" i="25"/>
  <c r="G40" i="25"/>
  <c r="G24" i="25"/>
  <c r="G15" i="25"/>
  <c r="G11" i="25"/>
  <c r="G63" i="25"/>
  <c r="G47" i="25"/>
  <c r="G44" i="25"/>
  <c r="G27" i="25"/>
  <c r="G19" i="25"/>
  <c r="G52" i="25"/>
  <c r="G34" i="25"/>
  <c r="G22" i="25"/>
  <c r="G16" i="25"/>
  <c r="G12" i="25"/>
  <c r="G9" i="25"/>
  <c r="G6" i="25"/>
  <c r="G59" i="25"/>
  <c r="G31" i="25"/>
  <c r="G28" i="25"/>
  <c r="G25" i="25"/>
  <c r="G8" i="25"/>
  <c r="G7" i="25"/>
  <c r="G50" i="25"/>
  <c r="G35" i="25"/>
  <c r="G20" i="25"/>
  <c r="G17" i="25"/>
  <c r="G13" i="25"/>
  <c r="G55" i="25"/>
  <c r="G42" i="25"/>
  <c r="G32" i="25"/>
  <c r="G23" i="25"/>
  <c r="G5" i="25"/>
  <c r="G60" i="25"/>
  <c r="G39" i="25"/>
  <c r="G36" i="25"/>
  <c r="G18" i="25"/>
  <c r="G10" i="25"/>
  <c r="G14" i="25"/>
  <c r="G26" i="25"/>
  <c r="M3" i="25"/>
  <c r="G5" i="21"/>
  <c r="G7" i="15" l="1"/>
  <c r="M6" i="21" l="1"/>
  <c r="M7" i="21"/>
  <c r="M8" i="21"/>
  <c r="M9" i="21"/>
  <c r="M5" i="21"/>
  <c r="M4" i="22"/>
  <c r="H39" i="22" l="1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C8" i="22"/>
  <c r="G7" i="22"/>
  <c r="G6" i="22"/>
  <c r="C6" i="22"/>
  <c r="G5" i="22"/>
  <c r="I4" i="22"/>
  <c r="G4" i="22"/>
  <c r="A2" i="22"/>
  <c r="E6" i="21"/>
  <c r="E7" i="21" s="1"/>
  <c r="H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M4" i="21"/>
  <c r="A2" i="21"/>
  <c r="C4" i="22"/>
  <c r="C5" i="22" s="1"/>
  <c r="C4" i="21"/>
  <c r="E3" i="21" s="1"/>
  <c r="F5" i="21" s="1"/>
  <c r="F7" i="21" l="1"/>
  <c r="F10" i="21"/>
  <c r="E3" i="22"/>
  <c r="E8" i="21"/>
  <c r="E4" i="21"/>
  <c r="C5" i="21"/>
  <c r="F6" i="21"/>
  <c r="F6" i="22" l="1"/>
  <c r="E4" i="22"/>
  <c r="K5" i="22" s="1"/>
  <c r="I5" i="22" s="1"/>
  <c r="K6" i="22" s="1"/>
  <c r="F5" i="22"/>
  <c r="F4" i="21"/>
  <c r="K5" i="21"/>
  <c r="I5" i="21" s="1"/>
  <c r="K6" i="21" s="1"/>
  <c r="F7" i="22"/>
  <c r="F8" i="21"/>
  <c r="F4" i="22" l="1"/>
  <c r="I6" i="22"/>
  <c r="K7" i="22" s="1"/>
  <c r="I7" i="22" s="1"/>
  <c r="K8" i="22" s="1"/>
  <c r="F8" i="22"/>
  <c r="C5" i="25"/>
  <c r="C6" i="25" l="1"/>
  <c r="E3" i="25"/>
  <c r="F6" i="25" l="1"/>
  <c r="F5" i="25"/>
  <c r="F10" i="25"/>
  <c r="F9" i="25"/>
  <c r="F7" i="25"/>
  <c r="F8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O7" i="25" l="1"/>
  <c r="P7" i="25" s="1"/>
  <c r="O9" i="25"/>
  <c r="P9" i="25" s="1"/>
  <c r="F4" i="25"/>
  <c r="K5" i="25"/>
  <c r="I5" i="25" s="1"/>
  <c r="O5" i="25"/>
  <c r="P5" i="25" s="1"/>
  <c r="O6" i="25"/>
  <c r="P6" i="25" s="1"/>
  <c r="O8" i="25"/>
  <c r="P8" i="25" s="1"/>
  <c r="K6" i="25" l="1"/>
  <c r="I6" i="25" s="1"/>
  <c r="F10" i="22"/>
  <c r="F11" i="21"/>
  <c r="K7" i="25" l="1"/>
  <c r="I7" i="25" s="1"/>
  <c r="F11" i="22"/>
  <c r="F12" i="21"/>
  <c r="K8" i="25" l="1"/>
  <c r="I8" i="25" s="1"/>
  <c r="F12" i="22"/>
  <c r="F13" i="21"/>
  <c r="K9" i="25" l="1"/>
  <c r="I9" i="25" s="1"/>
  <c r="F13" i="22"/>
  <c r="F14" i="21"/>
  <c r="I10" i="25" l="1"/>
  <c r="L10" i="25"/>
  <c r="F14" i="22"/>
  <c r="F15" i="21"/>
  <c r="F15" i="22" l="1"/>
  <c r="F16" i="21"/>
  <c r="I11" i="25" l="1"/>
  <c r="L11" i="25"/>
  <c r="M11" i="25" s="1"/>
  <c r="O11" i="25" s="1"/>
  <c r="P11" i="25" s="1"/>
  <c r="J63" i="25"/>
  <c r="J69" i="25"/>
  <c r="J59" i="25"/>
  <c r="J74" i="25"/>
  <c r="J38" i="25"/>
  <c r="J29" i="25"/>
  <c r="J56" i="25"/>
  <c r="J58" i="25"/>
  <c r="J39" i="25"/>
  <c r="J42" i="25"/>
  <c r="J31" i="25"/>
  <c r="J70" i="25"/>
  <c r="J61" i="25"/>
  <c r="J28" i="25"/>
  <c r="J30" i="25"/>
  <c r="J46" i="25"/>
  <c r="J55" i="25"/>
  <c r="J68" i="25"/>
  <c r="J51" i="25"/>
  <c r="J57" i="25"/>
  <c r="J33" i="25"/>
  <c r="J34" i="25"/>
  <c r="J65" i="25"/>
  <c r="J66" i="25"/>
  <c r="J49" i="25"/>
  <c r="J62" i="25"/>
  <c r="J67" i="25"/>
  <c r="J47" i="25"/>
  <c r="J60" i="25"/>
  <c r="J43" i="25"/>
  <c r="J37" i="25"/>
  <c r="J45" i="25"/>
  <c r="J52" i="25"/>
  <c r="J44" i="25"/>
  <c r="J72" i="25"/>
  <c r="J32" i="25"/>
  <c r="J53" i="25"/>
  <c r="J71" i="25"/>
  <c r="J73" i="25"/>
  <c r="J35" i="25"/>
  <c r="J48" i="25"/>
  <c r="J36" i="25"/>
  <c r="J64" i="25"/>
  <c r="J54" i="25"/>
  <c r="J27" i="25"/>
  <c r="J41" i="25"/>
  <c r="J50" i="25"/>
  <c r="J40" i="25"/>
  <c r="M10" i="25"/>
  <c r="F16" i="22"/>
  <c r="F17" i="21"/>
  <c r="O10" i="25" l="1"/>
  <c r="P10" i="25" s="1"/>
  <c r="I12" i="25"/>
  <c r="L12" i="25"/>
  <c r="F17" i="22"/>
  <c r="F18" i="21"/>
  <c r="M12" i="25" l="1"/>
  <c r="I13" i="25"/>
  <c r="L13" i="25"/>
  <c r="M13" i="25" s="1"/>
  <c r="O13" i="25" s="1"/>
  <c r="P13" i="25" s="1"/>
  <c r="F18" i="22"/>
  <c r="F19" i="21"/>
  <c r="I14" i="25" l="1"/>
  <c r="L14" i="25"/>
  <c r="M14" i="25" s="1"/>
  <c r="O14" i="25" s="1"/>
  <c r="P14" i="25" s="1"/>
  <c r="O12" i="25"/>
  <c r="P12" i="25" s="1"/>
  <c r="F19" i="22"/>
  <c r="F20" i="21"/>
  <c r="I15" i="25" l="1"/>
  <c r="L15" i="25"/>
  <c r="F20" i="22"/>
  <c r="F21" i="21"/>
  <c r="M15" i="25" l="1"/>
  <c r="I16" i="25"/>
  <c r="L16" i="25"/>
  <c r="M16" i="25" s="1"/>
  <c r="O16" i="25" s="1"/>
  <c r="P16" i="25" s="1"/>
  <c r="F21" i="22"/>
  <c r="F22" i="21"/>
  <c r="I17" i="25" l="1"/>
  <c r="L17" i="25"/>
  <c r="M17" i="25" s="1"/>
  <c r="O17" i="25" s="1"/>
  <c r="P17" i="25" s="1"/>
  <c r="O15" i="25"/>
  <c r="P15" i="25" s="1"/>
  <c r="F22" i="22"/>
  <c r="F23" i="21"/>
  <c r="I18" i="25" l="1"/>
  <c r="L18" i="25"/>
  <c r="M18" i="25" s="1"/>
  <c r="F23" i="22"/>
  <c r="F24" i="21"/>
  <c r="O18" i="25" l="1"/>
  <c r="P18" i="25" s="1"/>
  <c r="I19" i="25"/>
  <c r="L19" i="25"/>
  <c r="M19" i="25" s="1"/>
  <c r="O19" i="25" s="1"/>
  <c r="P19" i="25" s="1"/>
  <c r="F24" i="22"/>
  <c r="F25" i="21"/>
  <c r="I20" i="25" l="1"/>
  <c r="L20" i="25"/>
  <c r="M20" i="25" s="1"/>
  <c r="O20" i="25" s="1"/>
  <c r="P20" i="25" s="1"/>
  <c r="F25" i="22"/>
  <c r="F26" i="21"/>
  <c r="I21" i="25" l="1"/>
  <c r="L21" i="25"/>
  <c r="M21" i="25" s="1"/>
  <c r="O21" i="25" s="1"/>
  <c r="P21" i="25" s="1"/>
  <c r="F26" i="22"/>
  <c r="F27" i="21"/>
  <c r="I22" i="25" l="1"/>
  <c r="L22" i="25"/>
  <c r="M22" i="25" s="1"/>
  <c r="O22" i="25" s="1"/>
  <c r="P22" i="25" s="1"/>
  <c r="F27" i="22"/>
  <c r="F28" i="21"/>
  <c r="I23" i="25" l="1"/>
  <c r="L23" i="25"/>
  <c r="M23" i="25" s="1"/>
  <c r="O23" i="25" s="1"/>
  <c r="P23" i="25" s="1"/>
  <c r="F28" i="22"/>
  <c r="F29" i="21"/>
  <c r="I24" i="25" l="1"/>
  <c r="L24" i="25"/>
  <c r="M24" i="25" s="1"/>
  <c r="O24" i="25" s="1"/>
  <c r="P24" i="25" s="1"/>
  <c r="F29" i="22"/>
  <c r="F30" i="21"/>
  <c r="I25" i="25" l="1"/>
  <c r="L25" i="25"/>
  <c r="M25" i="25" s="1"/>
  <c r="O25" i="25" s="1"/>
  <c r="P25" i="25" s="1"/>
  <c r="F30" i="22"/>
  <c r="F31" i="21"/>
  <c r="I26" i="25" l="1"/>
  <c r="L26" i="25"/>
  <c r="M26" i="25" s="1"/>
  <c r="O26" i="25" s="1"/>
  <c r="P26" i="25" s="1"/>
  <c r="F31" i="22"/>
  <c r="F32" i="21"/>
  <c r="L27" i="25" l="1"/>
  <c r="M27" i="25" s="1"/>
  <c r="O27" i="25" s="1"/>
  <c r="P27" i="25" s="1"/>
  <c r="I27" i="25"/>
  <c r="F32" i="22"/>
  <c r="F33" i="21"/>
  <c r="I28" i="25" l="1"/>
  <c r="L28" i="25"/>
  <c r="M28" i="25" s="1"/>
  <c r="O28" i="25" s="1"/>
  <c r="P28" i="25" s="1"/>
  <c r="F33" i="22"/>
  <c r="F34" i="21"/>
  <c r="I29" i="25" l="1"/>
  <c r="L29" i="25"/>
  <c r="M29" i="25" s="1"/>
  <c r="O29" i="25" s="1"/>
  <c r="P29" i="25" s="1"/>
  <c r="F34" i="22"/>
  <c r="F35" i="21"/>
  <c r="I30" i="25" l="1"/>
  <c r="L30" i="25"/>
  <c r="M30" i="25" s="1"/>
  <c r="O30" i="25" s="1"/>
  <c r="P30" i="25" s="1"/>
  <c r="F35" i="22"/>
  <c r="F36" i="21"/>
  <c r="I31" i="25" l="1"/>
  <c r="L31" i="25"/>
  <c r="M31" i="25" s="1"/>
  <c r="O31" i="25" s="1"/>
  <c r="P31" i="25" s="1"/>
  <c r="F36" i="22"/>
  <c r="F37" i="21"/>
  <c r="F38" i="21"/>
  <c r="I32" i="25" l="1"/>
  <c r="L32" i="25"/>
  <c r="M32" i="25" s="1"/>
  <c r="O32" i="25" s="1"/>
  <c r="P32" i="25" s="1"/>
  <c r="F37" i="22"/>
  <c r="O5" i="21"/>
  <c r="O7" i="21"/>
  <c r="P7" i="21" s="1"/>
  <c r="O6" i="21"/>
  <c r="P6" i="21" s="1"/>
  <c r="O8" i="21"/>
  <c r="P8" i="21" s="1"/>
  <c r="I33" i="25" l="1"/>
  <c r="L33" i="25"/>
  <c r="M33" i="25" s="1"/>
  <c r="O33" i="25" s="1"/>
  <c r="P33" i="25" s="1"/>
  <c r="F38" i="22"/>
  <c r="P5" i="21"/>
  <c r="I34" i="25" l="1"/>
  <c r="L34" i="25"/>
  <c r="M34" i="25" s="1"/>
  <c r="O34" i="25" s="1"/>
  <c r="P34" i="25" s="1"/>
  <c r="M5" i="22"/>
  <c r="O5" i="22" s="1"/>
  <c r="M8" i="22"/>
  <c r="O8" i="22" s="1"/>
  <c r="P8" i="22" s="1"/>
  <c r="M9" i="22"/>
  <c r="M7" i="22"/>
  <c r="O7" i="22" s="1"/>
  <c r="P7" i="22" s="1"/>
  <c r="M6" i="22"/>
  <c r="O6" i="22" s="1"/>
  <c r="P6" i="22" s="1"/>
  <c r="P5" i="22" l="1"/>
  <c r="I35" i="25"/>
  <c r="L35" i="25"/>
  <c r="M35" i="25" s="1"/>
  <c r="O35" i="25" s="1"/>
  <c r="P35" i="25" s="1"/>
  <c r="I8" i="22"/>
  <c r="I36" i="25" l="1"/>
  <c r="L36" i="25"/>
  <c r="M36" i="25" s="1"/>
  <c r="O36" i="25" s="1"/>
  <c r="P36" i="25" s="1"/>
  <c r="I37" i="25" l="1"/>
  <c r="L37" i="25"/>
  <c r="M37" i="25" s="1"/>
  <c r="O37" i="25" s="1"/>
  <c r="P37" i="25" s="1"/>
  <c r="I38" i="25" l="1"/>
  <c r="L38" i="25"/>
  <c r="M38" i="25" s="1"/>
  <c r="O38" i="25" s="1"/>
  <c r="P38" i="25" s="1"/>
  <c r="I39" i="25" l="1"/>
  <c r="L39" i="25"/>
  <c r="M39" i="25" s="1"/>
  <c r="O39" i="25" s="1"/>
  <c r="P39" i="25" s="1"/>
  <c r="I40" i="25" l="1"/>
  <c r="L40" i="25"/>
  <c r="M40" i="25" s="1"/>
  <c r="O40" i="25" s="1"/>
  <c r="P40" i="25" s="1"/>
  <c r="I41" i="25" l="1"/>
  <c r="L41" i="25"/>
  <c r="M41" i="25" s="1"/>
  <c r="O41" i="25" s="1"/>
  <c r="P41" i="25" s="1"/>
  <c r="I42" i="25" l="1"/>
  <c r="L42" i="25"/>
  <c r="M42" i="25" s="1"/>
  <c r="O42" i="25" s="1"/>
  <c r="P42" i="25" s="1"/>
  <c r="I43" i="25" l="1"/>
  <c r="L43" i="25"/>
  <c r="M43" i="25" s="1"/>
  <c r="O43" i="25" s="1"/>
  <c r="P43" i="25" s="1"/>
  <c r="I44" i="25" l="1"/>
  <c r="L44" i="25"/>
  <c r="M44" i="25" s="1"/>
  <c r="O44" i="25" s="1"/>
  <c r="P44" i="25" s="1"/>
  <c r="I45" i="25" l="1"/>
  <c r="L45" i="25"/>
  <c r="M45" i="25" s="1"/>
  <c r="O45" i="25" s="1"/>
  <c r="P45" i="25" s="1"/>
  <c r="I46" i="25" l="1"/>
  <c r="L46" i="25"/>
  <c r="M46" i="25" s="1"/>
  <c r="O46" i="25" s="1"/>
  <c r="P46" i="25" s="1"/>
  <c r="I47" i="25" l="1"/>
  <c r="L47" i="25"/>
  <c r="M47" i="25" s="1"/>
  <c r="O47" i="25" s="1"/>
  <c r="P47" i="25" s="1"/>
  <c r="I48" i="25" l="1"/>
  <c r="L48" i="25"/>
  <c r="M48" i="25" s="1"/>
  <c r="O48" i="25" s="1"/>
  <c r="P48" i="25" s="1"/>
  <c r="I49" i="25" l="1"/>
  <c r="L49" i="25"/>
  <c r="M49" i="25" s="1"/>
  <c r="O49" i="25" s="1"/>
  <c r="P49" i="25" s="1"/>
  <c r="I50" i="25" l="1"/>
  <c r="L50" i="25"/>
  <c r="M50" i="25" s="1"/>
  <c r="O50" i="25" s="1"/>
  <c r="P50" i="25" s="1"/>
  <c r="I51" i="25" l="1"/>
  <c r="L51" i="25"/>
  <c r="M51" i="25" s="1"/>
  <c r="O51" i="25" s="1"/>
  <c r="P51" i="25" s="1"/>
  <c r="I52" i="25" l="1"/>
  <c r="L52" i="25"/>
  <c r="M52" i="25" s="1"/>
  <c r="O52" i="25" s="1"/>
  <c r="P52" i="25" s="1"/>
  <c r="I53" i="25" l="1"/>
  <c r="L53" i="25"/>
  <c r="M53" i="25" s="1"/>
  <c r="O53" i="25" s="1"/>
  <c r="P53" i="25" s="1"/>
  <c r="I54" i="25" l="1"/>
  <c r="L54" i="25"/>
  <c r="M54" i="25" s="1"/>
  <c r="O54" i="25" s="1"/>
  <c r="P54" i="25" s="1"/>
  <c r="I55" i="25" l="1"/>
  <c r="L55" i="25"/>
  <c r="M55" i="25" s="1"/>
  <c r="O55" i="25" s="1"/>
  <c r="P55" i="25" s="1"/>
  <c r="I56" i="25" l="1"/>
  <c r="L56" i="25"/>
  <c r="M56" i="25" s="1"/>
  <c r="O56" i="25" s="1"/>
  <c r="P56" i="25" s="1"/>
  <c r="I57" i="25" l="1"/>
  <c r="L57" i="25"/>
  <c r="M57" i="25" s="1"/>
  <c r="O57" i="25" s="1"/>
  <c r="P57" i="25" s="1"/>
  <c r="I58" i="25" l="1"/>
  <c r="L58" i="25"/>
  <c r="M58" i="25" s="1"/>
  <c r="O58" i="25" s="1"/>
  <c r="P58" i="25" s="1"/>
  <c r="I59" i="25" l="1"/>
  <c r="L59" i="25"/>
  <c r="M59" i="25" s="1"/>
  <c r="O59" i="25" s="1"/>
  <c r="P59" i="25" s="1"/>
  <c r="I60" i="25" l="1"/>
  <c r="L60" i="25"/>
  <c r="M60" i="25" s="1"/>
  <c r="O60" i="25" s="1"/>
  <c r="P60" i="25" s="1"/>
  <c r="L61" i="25" l="1"/>
  <c r="M61" i="25" s="1"/>
  <c r="O61" i="25" s="1"/>
  <c r="P61" i="25" s="1"/>
  <c r="I61" i="25"/>
  <c r="I62" i="25" l="1"/>
  <c r="L62" i="25"/>
  <c r="M62" i="25" s="1"/>
  <c r="O62" i="25" s="1"/>
  <c r="P62" i="25" s="1"/>
  <c r="I63" i="25" l="1"/>
  <c r="L63" i="25"/>
  <c r="M63" i="25" s="1"/>
  <c r="O63" i="25" s="1"/>
  <c r="P63" i="25" s="1"/>
  <c r="I64" i="25" l="1"/>
  <c r="L64" i="25"/>
  <c r="M64" i="25" s="1"/>
  <c r="O64" i="25" s="1"/>
  <c r="P64" i="25" s="1"/>
  <c r="I65" i="25" l="1"/>
  <c r="L65" i="25"/>
  <c r="M65" i="25" s="1"/>
  <c r="O65" i="25" s="1"/>
  <c r="P65" i="25" s="1"/>
  <c r="I66" i="25" l="1"/>
  <c r="L66" i="25"/>
  <c r="M66" i="25" s="1"/>
  <c r="O66" i="25" s="1"/>
  <c r="P66" i="25" s="1"/>
  <c r="I67" i="25" l="1"/>
  <c r="L67" i="25"/>
  <c r="M67" i="25" s="1"/>
  <c r="O67" i="25" s="1"/>
  <c r="P67" i="25" s="1"/>
  <c r="I68" i="25" l="1"/>
  <c r="L68" i="25"/>
  <c r="M68" i="25" s="1"/>
  <c r="O68" i="25" s="1"/>
  <c r="P68" i="25" s="1"/>
  <c r="I69" i="25" l="1"/>
  <c r="L69" i="25"/>
  <c r="M69" i="25" s="1"/>
  <c r="O69" i="25" s="1"/>
  <c r="P69" i="25" s="1"/>
  <c r="I70" i="25" l="1"/>
  <c r="L70" i="25"/>
  <c r="M70" i="25" s="1"/>
  <c r="O70" i="25" s="1"/>
  <c r="P70" i="25" s="1"/>
  <c r="I71" i="25" l="1"/>
  <c r="L71" i="25"/>
  <c r="M71" i="25" s="1"/>
  <c r="O71" i="25" s="1"/>
  <c r="P71" i="25" s="1"/>
  <c r="I6" i="21"/>
  <c r="I72" i="25" l="1"/>
  <c r="L72" i="25"/>
  <c r="M72" i="25" s="1"/>
  <c r="O72" i="25" s="1"/>
  <c r="P72" i="25" s="1"/>
  <c r="K7" i="21"/>
  <c r="I7" i="21" s="1"/>
  <c r="I73" i="25" l="1"/>
  <c r="L73" i="25"/>
  <c r="M73" i="25" s="1"/>
  <c r="O73" i="25" s="1"/>
  <c r="P73" i="25" s="1"/>
  <c r="K8" i="21"/>
  <c r="I8" i="21" s="1"/>
  <c r="I74" i="25" l="1"/>
  <c r="L74" i="25"/>
  <c r="M74" i="25" l="1"/>
  <c r="L75" i="25"/>
  <c r="O74" i="25" l="1"/>
  <c r="C12" i="25"/>
  <c r="C9" i="25"/>
  <c r="M75" i="25"/>
  <c r="G19" i="15" l="1"/>
  <c r="G20" i="15" s="1"/>
  <c r="B12" i="25"/>
  <c r="G13" i="15"/>
  <c r="O4" i="25"/>
  <c r="P74" i="25"/>
  <c r="C11" i="25" l="1"/>
  <c r="G14" i="15" s="1"/>
  <c r="D11" i="25" l="1"/>
  <c r="D12" i="25" s="1"/>
  <c r="D13" i="25" s="1"/>
  <c r="D14" i="25" s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D26" i="25" s="1"/>
  <c r="D27" i="25" s="1"/>
  <c r="D28" i="25" s="1"/>
  <c r="D29" i="25" s="1"/>
  <c r="D30" i="25" s="1"/>
  <c r="D31" i="25" s="1"/>
  <c r="D32" i="25" s="1"/>
  <c r="D33" i="25" s="1"/>
  <c r="D34" i="25" s="1"/>
  <c r="D35" i="25" s="1"/>
  <c r="D36" i="25" s="1"/>
  <c r="D37" i="25" s="1"/>
  <c r="D38" i="25" s="1"/>
  <c r="D39" i="25" s="1"/>
  <c r="D40" i="25" s="1"/>
  <c r="D41" i="25" s="1"/>
  <c r="D42" i="25" s="1"/>
  <c r="D43" i="25" s="1"/>
  <c r="D44" i="25" s="1"/>
  <c r="D45" i="25" s="1"/>
  <c r="D46" i="25" s="1"/>
  <c r="D47" i="25" s="1"/>
  <c r="D48" i="25" s="1"/>
  <c r="D49" i="25" s="1"/>
  <c r="D50" i="25" s="1"/>
  <c r="D51" i="25" s="1"/>
  <c r="D52" i="25" s="1"/>
  <c r="D53" i="25" s="1"/>
  <c r="D54" i="25" s="1"/>
  <c r="D55" i="25" s="1"/>
  <c r="D56" i="25" s="1"/>
  <c r="D57" i="25" s="1"/>
  <c r="D58" i="25" s="1"/>
  <c r="D59" i="25" s="1"/>
  <c r="D60" i="25" s="1"/>
  <c r="D61" i="25" s="1"/>
  <c r="D62" i="25" s="1"/>
  <c r="D63" i="25" s="1"/>
  <c r="D64" i="25" s="1"/>
  <c r="D65" i="25" s="1"/>
  <c r="D66" i="25" s="1"/>
  <c r="D67" i="25" s="1"/>
  <c r="D68" i="25" s="1"/>
  <c r="D69" i="25" s="1"/>
  <c r="D70" i="25" s="1"/>
  <c r="D71" i="25" s="1"/>
  <c r="D72" i="25" s="1"/>
  <c r="D73" i="25" s="1"/>
  <c r="D74" i="25" s="1"/>
  <c r="A21" i="25" s="1"/>
  <c r="A23" i="25" s="1"/>
  <c r="A24" i="25" s="1"/>
  <c r="D5" i="22" l="1"/>
  <c r="D6" i="21"/>
  <c r="D6" i="22" s="1"/>
  <c r="D7" i="21" l="1"/>
  <c r="D7" i="22" s="1"/>
  <c r="D8" i="21"/>
  <c r="E9" i="21" s="1"/>
  <c r="F9" i="21" l="1"/>
  <c r="K9" i="21"/>
  <c r="I9" i="21" s="1"/>
  <c r="D8" i="22"/>
  <c r="J12" i="21" l="1"/>
  <c r="J16" i="21"/>
  <c r="J20" i="21"/>
  <c r="J24" i="21"/>
  <c r="J28" i="21"/>
  <c r="J32" i="21"/>
  <c r="J36" i="21"/>
  <c r="J15" i="21"/>
  <c r="J27" i="21"/>
  <c r="J10" i="21"/>
  <c r="J13" i="21"/>
  <c r="J17" i="21"/>
  <c r="J21" i="21"/>
  <c r="J25" i="21"/>
  <c r="J29" i="21"/>
  <c r="J33" i="21"/>
  <c r="J37" i="21"/>
  <c r="J18" i="21"/>
  <c r="J22" i="21"/>
  <c r="J30" i="21"/>
  <c r="J34" i="21"/>
  <c r="J19" i="21"/>
  <c r="J23" i="21"/>
  <c r="J35" i="21"/>
  <c r="J14" i="21"/>
  <c r="J26" i="21"/>
  <c r="J38" i="21"/>
  <c r="J11" i="21"/>
  <c r="J31" i="21"/>
  <c r="L10" i="21"/>
  <c r="O9" i="21"/>
  <c r="D9" i="22"/>
  <c r="I10" i="21" l="1"/>
  <c r="M10" i="21"/>
  <c r="F9" i="22"/>
  <c r="K9" i="22"/>
  <c r="I9" i="22" s="1"/>
  <c r="P9" i="21"/>
  <c r="D11" i="21"/>
  <c r="D12" i="21" s="1"/>
  <c r="D13" i="21" s="1"/>
  <c r="D14" i="21" s="1"/>
  <c r="D15" i="21" s="1"/>
  <c r="D16" i="21" s="1"/>
  <c r="D17" i="21" s="1"/>
  <c r="D18" i="21" s="1"/>
  <c r="D19" i="21" s="1"/>
  <c r="D20" i="21" s="1"/>
  <c r="D21" i="21" s="1"/>
  <c r="D22" i="21" s="1"/>
  <c r="D23" i="21" s="1"/>
  <c r="D24" i="21" s="1"/>
  <c r="D25" i="21" s="1"/>
  <c r="D26" i="21" s="1"/>
  <c r="D27" i="21" s="1"/>
  <c r="D28" i="21" s="1"/>
  <c r="D29" i="21" s="1"/>
  <c r="D30" i="21" s="1"/>
  <c r="D31" i="21" s="1"/>
  <c r="D32" i="21" s="1"/>
  <c r="D33" i="21" s="1"/>
  <c r="D34" i="21" s="1"/>
  <c r="D35" i="21" s="1"/>
  <c r="D36" i="21" s="1"/>
  <c r="D37" i="21" s="1"/>
  <c r="D38" i="21" s="1"/>
  <c r="O10" i="21" l="1"/>
  <c r="J11" i="22"/>
  <c r="J15" i="22"/>
  <c r="J19" i="22"/>
  <c r="J23" i="22"/>
  <c r="J27" i="22"/>
  <c r="J31" i="22"/>
  <c r="J35" i="22"/>
  <c r="J10" i="22"/>
  <c r="I10" i="22" s="1"/>
  <c r="J30" i="22"/>
  <c r="J12" i="22"/>
  <c r="J16" i="22"/>
  <c r="J20" i="22"/>
  <c r="J24" i="22"/>
  <c r="J28" i="22"/>
  <c r="J32" i="22"/>
  <c r="J36" i="22"/>
  <c r="J26" i="22"/>
  <c r="J38" i="22"/>
  <c r="J13" i="22"/>
  <c r="J17" i="22"/>
  <c r="J21" i="22"/>
  <c r="J25" i="22"/>
  <c r="J29" i="22"/>
  <c r="J33" i="22"/>
  <c r="J37" i="22"/>
  <c r="J14" i="22"/>
  <c r="J18" i="22"/>
  <c r="J22" i="22"/>
  <c r="J34" i="22"/>
  <c r="L10" i="22"/>
  <c r="L11" i="21"/>
  <c r="I11" i="21"/>
  <c r="O9" i="22"/>
  <c r="M11" i="21" l="1"/>
  <c r="P10" i="21"/>
  <c r="L11" i="22"/>
  <c r="M11" i="22" s="1"/>
  <c r="O11" i="22" s="1"/>
  <c r="P11" i="22" s="1"/>
  <c r="I11" i="22"/>
  <c r="L12" i="21"/>
  <c r="M12" i="21" s="1"/>
  <c r="O12" i="21" s="1"/>
  <c r="P12" i="21" s="1"/>
  <c r="I12" i="21"/>
  <c r="M10" i="22"/>
  <c r="J39" i="22"/>
  <c r="P9" i="22"/>
  <c r="O11" i="21" l="1"/>
  <c r="L13" i="21"/>
  <c r="M13" i="21" s="1"/>
  <c r="O13" i="21" s="1"/>
  <c r="P13" i="21" s="1"/>
  <c r="I13" i="21"/>
  <c r="O10" i="22"/>
  <c r="L12" i="22"/>
  <c r="M12" i="22" s="1"/>
  <c r="O12" i="22" s="1"/>
  <c r="P12" i="22" s="1"/>
  <c r="I12" i="22"/>
  <c r="P11" i="21" l="1"/>
  <c r="P10" i="22"/>
  <c r="L13" i="22"/>
  <c r="M13" i="22" s="1"/>
  <c r="O13" i="22" s="1"/>
  <c r="P13" i="22" s="1"/>
  <c r="I13" i="22"/>
  <c r="I14" i="21"/>
  <c r="L14" i="21"/>
  <c r="M14" i="21" s="1"/>
  <c r="O14" i="21" l="1"/>
  <c r="L15" i="21"/>
  <c r="M15" i="21" s="1"/>
  <c r="O15" i="21" s="1"/>
  <c r="P15" i="21" s="1"/>
  <c r="I15" i="21"/>
  <c r="L14" i="22"/>
  <c r="M14" i="22" s="1"/>
  <c r="O14" i="22" s="1"/>
  <c r="P14" i="22" s="1"/>
  <c r="I14" i="22"/>
  <c r="P14" i="21" l="1"/>
  <c r="L15" i="22"/>
  <c r="M15" i="22" s="1"/>
  <c r="O15" i="22" s="1"/>
  <c r="P15" i="22" s="1"/>
  <c r="I15" i="22"/>
  <c r="I16" i="21"/>
  <c r="L16" i="21"/>
  <c r="M16" i="21" s="1"/>
  <c r="O16" i="21" s="1"/>
  <c r="P16" i="21" s="1"/>
  <c r="I17" i="21" l="1"/>
  <c r="L17" i="21"/>
  <c r="M17" i="21" s="1"/>
  <c r="O17" i="21" s="1"/>
  <c r="P17" i="21" s="1"/>
  <c r="L16" i="22"/>
  <c r="M16" i="22" s="1"/>
  <c r="O16" i="22" s="1"/>
  <c r="P16" i="22" s="1"/>
  <c r="I16" i="22"/>
  <c r="L17" i="22" l="1"/>
  <c r="M17" i="22" s="1"/>
  <c r="O17" i="22" s="1"/>
  <c r="P17" i="22" s="1"/>
  <c r="I17" i="22"/>
  <c r="I18" i="21"/>
  <c r="L18" i="21"/>
  <c r="M18" i="21" s="1"/>
  <c r="O18" i="21" s="1"/>
  <c r="P18" i="21" s="1"/>
  <c r="I19" i="21" l="1"/>
  <c r="L19" i="21"/>
  <c r="M19" i="21" s="1"/>
  <c r="O19" i="21" s="1"/>
  <c r="P19" i="21" s="1"/>
  <c r="L18" i="22"/>
  <c r="M18" i="22" s="1"/>
  <c r="O18" i="22" s="1"/>
  <c r="P18" i="22" s="1"/>
  <c r="I18" i="22"/>
  <c r="L20" i="21" l="1"/>
  <c r="M20" i="21" s="1"/>
  <c r="O20" i="21" s="1"/>
  <c r="P20" i="21" s="1"/>
  <c r="I20" i="21"/>
  <c r="L19" i="22"/>
  <c r="M19" i="22" s="1"/>
  <c r="O19" i="22" s="1"/>
  <c r="P19" i="22" s="1"/>
  <c r="I19" i="22"/>
  <c r="L20" i="22" l="1"/>
  <c r="M20" i="22" s="1"/>
  <c r="O20" i="22" s="1"/>
  <c r="P20" i="22" s="1"/>
  <c r="I20" i="22"/>
  <c r="I21" i="21"/>
  <c r="L21" i="21"/>
  <c r="M21" i="21" s="1"/>
  <c r="O21" i="21" s="1"/>
  <c r="P21" i="21" s="1"/>
  <c r="L22" i="21" l="1"/>
  <c r="M22" i="21" s="1"/>
  <c r="O22" i="21" s="1"/>
  <c r="P22" i="21" s="1"/>
  <c r="I22" i="21"/>
  <c r="L21" i="22"/>
  <c r="M21" i="22" s="1"/>
  <c r="O21" i="22" s="1"/>
  <c r="P21" i="22" s="1"/>
  <c r="I21" i="22"/>
  <c r="L22" i="22" l="1"/>
  <c r="M22" i="22" s="1"/>
  <c r="O22" i="22" s="1"/>
  <c r="P22" i="22" s="1"/>
  <c r="I22" i="22"/>
  <c r="L23" i="21"/>
  <c r="M23" i="21" s="1"/>
  <c r="O23" i="21" s="1"/>
  <c r="P23" i="21" s="1"/>
  <c r="I23" i="21"/>
  <c r="L24" i="21" l="1"/>
  <c r="M24" i="21" s="1"/>
  <c r="O24" i="21" s="1"/>
  <c r="P24" i="21" s="1"/>
  <c r="I24" i="21"/>
  <c r="L23" i="22"/>
  <c r="M23" i="22" s="1"/>
  <c r="O23" i="22" s="1"/>
  <c r="P23" i="22" s="1"/>
  <c r="I23" i="22"/>
  <c r="L24" i="22" l="1"/>
  <c r="M24" i="22" s="1"/>
  <c r="O24" i="22" s="1"/>
  <c r="P24" i="22" s="1"/>
  <c r="I24" i="22"/>
  <c r="L25" i="21"/>
  <c r="M25" i="21" s="1"/>
  <c r="O25" i="21" s="1"/>
  <c r="P25" i="21" s="1"/>
  <c r="I25" i="21"/>
  <c r="L26" i="21" l="1"/>
  <c r="M26" i="21" s="1"/>
  <c r="O26" i="21" s="1"/>
  <c r="P26" i="21" s="1"/>
  <c r="I26" i="21"/>
  <c r="L25" i="22"/>
  <c r="M25" i="22" s="1"/>
  <c r="O25" i="22" s="1"/>
  <c r="P25" i="22" s="1"/>
  <c r="I25" i="22"/>
  <c r="L26" i="22" l="1"/>
  <c r="M26" i="22" s="1"/>
  <c r="O26" i="22" s="1"/>
  <c r="P26" i="22" s="1"/>
  <c r="I26" i="22"/>
  <c r="L27" i="21"/>
  <c r="M27" i="21" s="1"/>
  <c r="O27" i="21" s="1"/>
  <c r="P27" i="21" s="1"/>
  <c r="I27" i="21"/>
  <c r="L28" i="21" l="1"/>
  <c r="M28" i="21" s="1"/>
  <c r="O28" i="21" s="1"/>
  <c r="P28" i="21" s="1"/>
  <c r="I28" i="21"/>
  <c r="L27" i="22"/>
  <c r="M27" i="22" s="1"/>
  <c r="O27" i="22" s="1"/>
  <c r="P27" i="22" s="1"/>
  <c r="I27" i="22"/>
  <c r="L28" i="22" l="1"/>
  <c r="M28" i="22" s="1"/>
  <c r="O28" i="22" s="1"/>
  <c r="P28" i="22" s="1"/>
  <c r="I28" i="22"/>
  <c r="I29" i="21"/>
  <c r="L29" i="21"/>
  <c r="M29" i="21" s="1"/>
  <c r="O29" i="21" s="1"/>
  <c r="P29" i="21" s="1"/>
  <c r="L30" i="21" l="1"/>
  <c r="M30" i="21" s="1"/>
  <c r="O30" i="21" s="1"/>
  <c r="P30" i="21" s="1"/>
  <c r="I30" i="21"/>
  <c r="L29" i="22"/>
  <c r="M29" i="22" s="1"/>
  <c r="O29" i="22" s="1"/>
  <c r="P29" i="22" s="1"/>
  <c r="I29" i="22"/>
  <c r="L30" i="22" l="1"/>
  <c r="M30" i="22" s="1"/>
  <c r="O30" i="22" s="1"/>
  <c r="P30" i="22" s="1"/>
  <c r="I30" i="22"/>
  <c r="I31" i="21"/>
  <c r="L31" i="21"/>
  <c r="M31" i="21" s="1"/>
  <c r="O31" i="21" s="1"/>
  <c r="P31" i="21" s="1"/>
  <c r="L32" i="21" l="1"/>
  <c r="M32" i="21" s="1"/>
  <c r="O32" i="21" s="1"/>
  <c r="P32" i="21" s="1"/>
  <c r="I32" i="21"/>
  <c r="L31" i="22"/>
  <c r="M31" i="22" s="1"/>
  <c r="O31" i="22" s="1"/>
  <c r="P31" i="22" s="1"/>
  <c r="I31" i="22"/>
  <c r="L32" i="22" l="1"/>
  <c r="M32" i="22" s="1"/>
  <c r="O32" i="22" s="1"/>
  <c r="P32" i="22" s="1"/>
  <c r="I32" i="22"/>
  <c r="I33" i="21"/>
  <c r="L33" i="21"/>
  <c r="M33" i="21" s="1"/>
  <c r="O33" i="21" s="1"/>
  <c r="P33" i="21" s="1"/>
  <c r="L34" i="21" l="1"/>
  <c r="M34" i="21" s="1"/>
  <c r="O34" i="21" s="1"/>
  <c r="P34" i="21" s="1"/>
  <c r="I34" i="21"/>
  <c r="L33" i="22"/>
  <c r="M33" i="22" s="1"/>
  <c r="O33" i="22" s="1"/>
  <c r="P33" i="22" s="1"/>
  <c r="I33" i="22"/>
  <c r="L34" i="22" l="1"/>
  <c r="M34" i="22" s="1"/>
  <c r="O34" i="22" s="1"/>
  <c r="P34" i="22" s="1"/>
  <c r="I34" i="22"/>
  <c r="I35" i="21"/>
  <c r="L35" i="21"/>
  <c r="M35" i="21" s="1"/>
  <c r="O35" i="21" s="1"/>
  <c r="P35" i="21" s="1"/>
  <c r="L36" i="21" l="1"/>
  <c r="M36" i="21" s="1"/>
  <c r="O36" i="21" s="1"/>
  <c r="P36" i="21" s="1"/>
  <c r="I36" i="21"/>
  <c r="L35" i="22"/>
  <c r="M35" i="22" s="1"/>
  <c r="O35" i="22" s="1"/>
  <c r="P35" i="22" s="1"/>
  <c r="I35" i="22"/>
  <c r="L36" i="22" l="1"/>
  <c r="M36" i="22" s="1"/>
  <c r="O36" i="22" s="1"/>
  <c r="P36" i="22" s="1"/>
  <c r="I36" i="22"/>
  <c r="I37" i="21"/>
  <c r="L37" i="21"/>
  <c r="M37" i="21" s="1"/>
  <c r="O37" i="21" s="1"/>
  <c r="P37" i="21" s="1"/>
  <c r="L38" i="21" l="1"/>
  <c r="I38" i="21"/>
  <c r="L37" i="22"/>
  <c r="M37" i="22" s="1"/>
  <c r="O37" i="22" s="1"/>
  <c r="P37" i="22" s="1"/>
  <c r="I37" i="22"/>
  <c r="M38" i="21" l="1"/>
  <c r="L39" i="21"/>
  <c r="L38" i="22"/>
  <c r="M38" i="22" s="1"/>
  <c r="I38" i="22"/>
  <c r="C14" i="22" l="1"/>
  <c r="O38" i="22"/>
  <c r="O4" i="22" s="1"/>
  <c r="C11" i="22"/>
  <c r="M39" i="22"/>
  <c r="O38" i="21"/>
  <c r="C10" i="21"/>
  <c r="M39" i="21"/>
  <c r="C7" i="21" s="1"/>
  <c r="B7" i="21" l="1"/>
  <c r="P38" i="21"/>
  <c r="O4" i="21"/>
  <c r="B14" i="22"/>
  <c r="D13" i="15"/>
  <c r="C10" i="22"/>
  <c r="D19" i="15"/>
  <c r="D20" i="15" s="1"/>
  <c r="C9" i="21"/>
  <c r="P38" i="22"/>
  <c r="C13" i="22" s="1"/>
  <c r="D14" i="15" l="1"/>
  <c r="C28" i="24" s="1"/>
  <c r="D28" i="24" s="1"/>
  <c r="C6" i="21"/>
  <c r="H28" i="24" l="1"/>
  <c r="I28" i="24" s="1"/>
  <c r="M59" i="26"/>
  <c r="N59" i="26" s="1"/>
  <c r="D58" i="26"/>
  <c r="E58" i="26" s="1"/>
</calcChain>
</file>

<file path=xl/sharedStrings.xml><?xml version="1.0" encoding="utf-8"?>
<sst xmlns="http://schemas.openxmlformats.org/spreadsheetml/2006/main" count="218" uniqueCount="85">
  <si>
    <t>Plazo</t>
  </si>
  <si>
    <t>Intereses</t>
  </si>
  <si>
    <t>Flujo</t>
  </si>
  <si>
    <t>Precio</t>
  </si>
  <si>
    <t>TIR (TEA)</t>
  </si>
  <si>
    <t>VN a licitar</t>
  </si>
  <si>
    <t xml:space="preserve">La presente planilla de cálculo debe ser considerada por el interesado al sólo efecto ilustrativo y ejemplificativo. Los resultados que esta arroje no serán vinculantes y pueden sufrir variaciones ante cambios en cualquiera de los supuestos de elaboración. A los efectos de la suscripción de las Obligaciones Negociables, el interesado deberá basarse en sus propios cálculos y evaluación de la información publicada en el Suplemento de Prospecto y en particular las consideraciones de riesgo para la inversión. </t>
  </si>
  <si>
    <t>Tasa</t>
  </si>
  <si>
    <t>Fecha de Emisión</t>
  </si>
  <si>
    <t>Fecha de Vencimiento</t>
  </si>
  <si>
    <t>Vida Promedio (años)</t>
  </si>
  <si>
    <t>Duration (años)</t>
  </si>
  <si>
    <t>Fecha de Liquidación</t>
  </si>
  <si>
    <t>Calificación</t>
  </si>
  <si>
    <t>Spread s/Badlar (Act/365)</t>
  </si>
  <si>
    <t>Cupón de Interés</t>
  </si>
  <si>
    <t>TIR TAE</t>
  </si>
  <si>
    <t>Duration</t>
  </si>
  <si>
    <t>Av. Life</t>
  </si>
  <si>
    <t>Tipo de Cupón</t>
  </si>
  <si>
    <t>Tasa fija a licitar</t>
  </si>
  <si>
    <t>Tasa a Licitar</t>
  </si>
  <si>
    <t>Duration Modificada</t>
  </si>
  <si>
    <t>Av Life</t>
  </si>
  <si>
    <t>Fecha Cupón</t>
  </si>
  <si>
    <t>N°</t>
  </si>
  <si>
    <t>Devengadp</t>
  </si>
  <si>
    <t>Devengado</t>
  </si>
  <si>
    <t>Dias</t>
  </si>
  <si>
    <t>Tasa Fija a licitar</t>
  </si>
  <si>
    <t>Fecha de Suscripción</t>
  </si>
  <si>
    <t xml:space="preserve">Tc Inicial </t>
  </si>
  <si>
    <t>TRAMO LARGO</t>
  </si>
  <si>
    <t>Uva Inicial</t>
  </si>
  <si>
    <t>Intereses a Capitalizar</t>
  </si>
  <si>
    <t>Int. Cap</t>
  </si>
  <si>
    <t>Int. Cap VN</t>
  </si>
  <si>
    <t>TIR</t>
  </si>
  <si>
    <t>TNA</t>
  </si>
  <si>
    <t>UVA / Clase XV</t>
  </si>
  <si>
    <t>A-(arg)  Fix SCR</t>
  </si>
  <si>
    <t>%</t>
  </si>
  <si>
    <t>Par Value</t>
  </si>
  <si>
    <t>Valor Par</t>
  </si>
  <si>
    <t>Dólar Linked / Clase XVI</t>
  </si>
  <si>
    <t>Pagos Principal</t>
  </si>
  <si>
    <t>Título</t>
  </si>
  <si>
    <t>Price</t>
  </si>
  <si>
    <t>Int</t>
  </si>
  <si>
    <t>Technical</t>
  </si>
  <si>
    <t xml:space="preserve">Curr. </t>
  </si>
  <si>
    <t>Modified</t>
  </si>
  <si>
    <t>Volumen</t>
  </si>
  <si>
    <t xml:space="preserve">Volumen </t>
  </si>
  <si>
    <t>TC21</t>
  </si>
  <si>
    <t>ARS</t>
  </si>
  <si>
    <t>Value</t>
  </si>
  <si>
    <t>Yield</t>
  </si>
  <si>
    <t>Byma</t>
  </si>
  <si>
    <t>MAE</t>
  </si>
  <si>
    <t>TX21</t>
  </si>
  <si>
    <t>TX22</t>
  </si>
  <si>
    <t>T2X2</t>
  </si>
  <si>
    <t>TX23</t>
  </si>
  <si>
    <t>TX24</t>
  </si>
  <si>
    <t>TX26</t>
  </si>
  <si>
    <t>TX28</t>
  </si>
  <si>
    <t>TC23</t>
  </si>
  <si>
    <t>TC25</t>
  </si>
  <si>
    <t>DICP</t>
  </si>
  <si>
    <t>PARP</t>
  </si>
  <si>
    <t>CUAP</t>
  </si>
  <si>
    <t>Fuente: IAMC</t>
  </si>
  <si>
    <t>YTM</t>
  </si>
  <si>
    <t>MD</t>
  </si>
  <si>
    <t xml:space="preserve">Curva CER Performance </t>
  </si>
  <si>
    <t>GEMSA UVA</t>
  </si>
  <si>
    <t>Bono CER</t>
  </si>
  <si>
    <t>Interpolación contra TC25 y TX24</t>
  </si>
  <si>
    <t>Si elimino el TC25 por iliquidez</t>
  </si>
  <si>
    <t>Cupón a Licitar (2 decimales)</t>
  </si>
  <si>
    <t>Ytm</t>
  </si>
  <si>
    <t>GEMSA</t>
  </si>
  <si>
    <t>TNA (*)</t>
  </si>
  <si>
    <t>(*) Calculo de TNA sobre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</si>
</sst>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 * #,##0.00_ ;_ * \-#,##0.00_ ;_ * &quot;-&quot;??_ ;_ @_ "/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_-* #,##0.00\ _€_-;\-* #,##0.00\ _€_-;_-* &quot;-&quot;??\ _€_-;_-@_-"/>
    <numFmt numFmtId="167" formatCode="_-* #,##0\ _€_-;\-* #,##0\ _€_-;_-* &quot;-&quot;??\ _€_-;_-@_-"/>
    <numFmt numFmtId="168" formatCode="#,##0.00_ ;\-#,##0.00\ "/>
    <numFmt numFmtId="169" formatCode="#,##0_ ;\-#,##0\ "/>
    <numFmt numFmtId="170" formatCode="0.0000"/>
    <numFmt numFmtId="171" formatCode="dd\-mm\-yy;@"/>
    <numFmt numFmtId="172" formatCode="0.0000%"/>
    <numFmt numFmtId="173" formatCode="_-* #,##0.0000\ _€_-;\-* #,##0.0000\ _€_-;_-* &quot;-&quot;??\ _€_-;_-@_-"/>
    <numFmt numFmtId="174" formatCode="#,##0.0000"/>
    <numFmt numFmtId="175" formatCode="0.000%"/>
    <numFmt numFmtId="176" formatCode="0.0%"/>
    <numFmt numFmtId="177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sz val="9"/>
      <color theme="3"/>
      <name val="Calibri"/>
      <family val="2"/>
      <scheme val="minor"/>
    </font>
    <font>
      <i/>
      <sz val="9"/>
      <color rgb="FF00206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8"/>
      <color theme="3" tint="-0.499984740745262"/>
      <name val="Times New Roman"/>
      <family val="1"/>
    </font>
    <font>
      <i/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</font>
    <font>
      <i/>
      <sz val="8"/>
      <color theme="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8C227"/>
        <bgColor indexed="64"/>
      </patternFill>
    </fill>
    <fill>
      <patternFill patternType="solid">
        <fgColor rgb="FFE1EDA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  <xf numFmtId="0" fontId="4" fillId="0" borderId="0" applyNumberFormat="0" applyFill="0" applyBorder="0" applyAlignment="0" applyProtection="0"/>
  </cellStyleXfs>
  <cellXfs count="265">
    <xf numFmtId="0" fontId="0" fillId="0" borderId="0" xfId="0"/>
    <xf numFmtId="10" fontId="10" fillId="2" borderId="0" xfId="2" applyNumberFormat="1" applyFont="1" applyFill="1" applyBorder="1" applyAlignment="1">
      <alignment horizontal="left" vertical="center"/>
    </xf>
    <xf numFmtId="2" fontId="15" fillId="2" borderId="0" xfId="7" applyNumberFormat="1" applyFont="1" applyFill="1" applyBorder="1" applyAlignment="1">
      <alignment horizontal="left" vertical="center"/>
    </xf>
    <xf numFmtId="2" fontId="10" fillId="2" borderId="0" xfId="7" applyNumberFormat="1" applyFont="1" applyFill="1" applyBorder="1" applyAlignment="1">
      <alignment horizontal="left" vertical="center"/>
    </xf>
    <xf numFmtId="0" fontId="10" fillId="2" borderId="0" xfId="9" applyFont="1" applyFill="1" applyBorder="1" applyAlignment="1">
      <alignment horizontal="left" vertical="center"/>
    </xf>
    <xf numFmtId="15" fontId="10" fillId="2" borderId="0" xfId="9" applyNumberFormat="1" applyFont="1" applyFill="1" applyBorder="1" applyAlignment="1">
      <alignment horizontal="left" vertical="center"/>
    </xf>
    <xf numFmtId="4" fontId="10" fillId="2" borderId="0" xfId="9" applyNumberFormat="1" applyFont="1" applyFill="1" applyBorder="1" applyAlignment="1">
      <alignment horizontal="left" vertical="center"/>
    </xf>
    <xf numFmtId="4" fontId="15" fillId="2" borderId="0" xfId="9" applyNumberFormat="1" applyFont="1" applyFill="1" applyBorder="1" applyAlignment="1">
      <alignment horizontal="left" vertical="center"/>
    </xf>
    <xf numFmtId="174" fontId="13" fillId="2" borderId="0" xfId="9" applyNumberFormat="1" applyFont="1" applyFill="1" applyBorder="1" applyAlignment="1">
      <alignment horizontal="left" vertical="center"/>
    </xf>
    <xf numFmtId="1" fontId="10" fillId="2" borderId="0" xfId="1" applyNumberFormat="1" applyFont="1" applyFill="1" applyBorder="1" applyAlignment="1">
      <alignment horizontal="left" vertical="center"/>
    </xf>
    <xf numFmtId="167" fontId="3" fillId="2" borderId="0" xfId="0" applyNumberFormat="1" applyFont="1" applyFill="1" applyAlignment="1" applyProtection="1">
      <alignment horizontal="center" vertical="center"/>
      <protection hidden="1"/>
    </xf>
    <xf numFmtId="0" fontId="15" fillId="2" borderId="0" xfId="7" applyFont="1" applyFill="1" applyBorder="1" applyAlignment="1">
      <alignment horizontal="left" vertical="center"/>
    </xf>
    <xf numFmtId="15" fontId="14" fillId="2" borderId="0" xfId="9" applyNumberFormat="1" applyFont="1" applyFill="1" applyBorder="1" applyAlignment="1">
      <alignment horizontal="left" vertical="center"/>
    </xf>
    <xf numFmtId="0" fontId="15" fillId="2" borderId="3" xfId="9" applyFont="1" applyFill="1" applyBorder="1" applyAlignment="1">
      <alignment horizontal="left" vertical="center"/>
    </xf>
    <xf numFmtId="0" fontId="15" fillId="2" borderId="1" xfId="10" applyFont="1" applyFill="1" applyBorder="1" applyAlignment="1">
      <alignment horizontal="left" vertical="center" wrapText="1"/>
    </xf>
    <xf numFmtId="174" fontId="10" fillId="2" borderId="2" xfId="9" applyNumberFormat="1" applyFont="1" applyFill="1" applyBorder="1" applyAlignment="1">
      <alignment horizontal="left" vertical="center"/>
    </xf>
    <xf numFmtId="4" fontId="14" fillId="2" borderId="0" xfId="9" applyNumberFormat="1" applyFont="1" applyFill="1" applyBorder="1" applyAlignment="1">
      <alignment horizontal="left" vertical="center"/>
    </xf>
    <xf numFmtId="169" fontId="10" fillId="2" borderId="2" xfId="1" applyNumberFormat="1" applyFont="1" applyFill="1" applyBorder="1" applyAlignment="1">
      <alignment horizontal="left" vertical="center"/>
    </xf>
    <xf numFmtId="169" fontId="10" fillId="2" borderId="5" xfId="1" applyNumberFormat="1" applyFont="1" applyFill="1" applyBorder="1" applyAlignment="1">
      <alignment horizontal="left" vertical="center"/>
    </xf>
    <xf numFmtId="15" fontId="10" fillId="2" borderId="6" xfId="9" applyNumberFormat="1" applyFont="1" applyFill="1" applyBorder="1" applyAlignment="1">
      <alignment horizontal="left" vertical="center"/>
    </xf>
    <xf numFmtId="1" fontId="10" fillId="2" borderId="6" xfId="1" applyNumberFormat="1" applyFont="1" applyFill="1" applyBorder="1" applyAlignment="1">
      <alignment horizontal="left" vertical="center"/>
    </xf>
    <xf numFmtId="10" fontId="10" fillId="2" borderId="6" xfId="2" applyNumberFormat="1" applyFont="1" applyFill="1" applyBorder="1" applyAlignment="1">
      <alignment horizontal="left" vertical="center"/>
    </xf>
    <xf numFmtId="4" fontId="10" fillId="2" borderId="6" xfId="9" applyNumberFormat="1" applyFont="1" applyFill="1" applyBorder="1" applyAlignment="1">
      <alignment horizontal="left" vertical="center"/>
    </xf>
    <xf numFmtId="0" fontId="10" fillId="2" borderId="0" xfId="6" applyFont="1" applyFill="1" applyBorder="1" applyAlignment="1">
      <alignment horizontal="center" vertical="center"/>
    </xf>
    <xf numFmtId="0" fontId="15" fillId="2" borderId="1" xfId="6" applyFont="1" applyFill="1" applyBorder="1" applyAlignment="1">
      <alignment horizontal="center" vertical="center" wrapText="1"/>
    </xf>
    <xf numFmtId="2" fontId="15" fillId="2" borderId="0" xfId="7" applyNumberFormat="1" applyFont="1" applyFill="1" applyBorder="1" applyAlignment="1">
      <alignment horizontal="center" vertical="center"/>
    </xf>
    <xf numFmtId="174" fontId="10" fillId="2" borderId="0" xfId="6" applyNumberFormat="1" applyFont="1" applyFill="1" applyBorder="1" applyAlignment="1">
      <alignment horizontal="center" vertical="center"/>
    </xf>
    <xf numFmtId="2" fontId="10" fillId="2" borderId="0" xfId="7" applyNumberFormat="1" applyFont="1" applyFill="1" applyBorder="1" applyAlignment="1">
      <alignment horizontal="center" vertical="center"/>
    </xf>
    <xf numFmtId="0" fontId="10" fillId="2" borderId="1" xfId="6" applyFont="1" applyFill="1" applyBorder="1" applyAlignment="1">
      <alignment horizontal="center" vertical="center"/>
    </xf>
    <xf numFmtId="2" fontId="10" fillId="2" borderId="0" xfId="6" applyNumberFormat="1" applyFont="1" applyFill="1" applyBorder="1" applyAlignment="1">
      <alignment horizontal="center" vertical="center"/>
    </xf>
    <xf numFmtId="2" fontId="10" fillId="2" borderId="1" xfId="7" applyNumberFormat="1" applyFont="1" applyFill="1" applyBorder="1" applyAlignment="1">
      <alignment horizontal="center" vertical="center"/>
    </xf>
    <xf numFmtId="4" fontId="10" fillId="2" borderId="0" xfId="6" applyNumberFormat="1" applyFont="1" applyFill="1" applyBorder="1" applyAlignment="1">
      <alignment horizontal="center" vertical="center"/>
    </xf>
    <xf numFmtId="15" fontId="12" fillId="2" borderId="1" xfId="12" applyNumberFormat="1" applyFont="1" applyFill="1" applyBorder="1" applyAlignment="1">
      <alignment horizontal="center" vertical="center"/>
    </xf>
    <xf numFmtId="15" fontId="13" fillId="2" borderId="0" xfId="9" applyNumberFormat="1" applyFont="1" applyFill="1" applyBorder="1" applyAlignment="1">
      <alignment horizontal="center" vertical="center"/>
    </xf>
    <xf numFmtId="0" fontId="10" fillId="2" borderId="0" xfId="8" applyFont="1" applyFill="1" applyBorder="1" applyAlignment="1">
      <alignment vertical="center"/>
    </xf>
    <xf numFmtId="0" fontId="10" fillId="2" borderId="2" xfId="8" applyFont="1" applyFill="1" applyBorder="1" applyAlignment="1">
      <alignment horizontal="left" vertical="center"/>
    </xf>
    <xf numFmtId="0" fontId="10" fillId="2" borderId="0" xfId="8" applyFont="1" applyFill="1" applyBorder="1" applyAlignment="1">
      <alignment horizontal="left" vertical="center"/>
    </xf>
    <xf numFmtId="165" fontId="10" fillId="2" borderId="0" xfId="8" applyNumberFormat="1" applyFont="1" applyFill="1" applyBorder="1" applyAlignment="1">
      <alignment vertical="center"/>
    </xf>
    <xf numFmtId="2" fontId="10" fillId="2" borderId="0" xfId="0" applyNumberFormat="1" applyFont="1" applyFill="1" applyAlignment="1">
      <alignment horizontal="left" vertical="center"/>
    </xf>
    <xf numFmtId="2" fontId="10" fillId="2" borderId="0" xfId="8" applyNumberFormat="1" applyFont="1" applyFill="1" applyBorder="1" applyAlignment="1">
      <alignment horizontal="left" vertical="center"/>
    </xf>
    <xf numFmtId="167" fontId="10" fillId="2" borderId="0" xfId="8" applyNumberFormat="1" applyFont="1" applyFill="1" applyBorder="1" applyAlignment="1">
      <alignment vertical="center"/>
    </xf>
    <xf numFmtId="175" fontId="10" fillId="2" borderId="0" xfId="2" applyNumberFormat="1" applyFont="1" applyFill="1" applyBorder="1" applyAlignment="1">
      <alignment horizontal="left" vertical="center"/>
    </xf>
    <xf numFmtId="4" fontId="10" fillId="2" borderId="0" xfId="8" applyNumberFormat="1" applyFont="1" applyFill="1" applyBorder="1" applyAlignment="1">
      <alignment horizontal="left" vertical="center"/>
    </xf>
    <xf numFmtId="0" fontId="15" fillId="2" borderId="1" xfId="9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6" borderId="0" xfId="0" applyFont="1" applyFill="1" applyBorder="1" applyAlignment="1" applyProtection="1">
      <alignment horizontal="left" vertical="center"/>
      <protection hidden="1"/>
    </xf>
    <xf numFmtId="0" fontId="6" fillId="3" borderId="0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Border="1" applyAlignment="1">
      <alignment horizontal="left" vertical="center"/>
    </xf>
    <xf numFmtId="10" fontId="8" fillId="4" borderId="0" xfId="0" applyNumberFormat="1" applyFont="1" applyFill="1" applyBorder="1" applyAlignment="1" applyProtection="1">
      <alignment horizontal="left" vertical="center"/>
      <protection hidden="1"/>
    </xf>
    <xf numFmtId="10" fontId="5" fillId="2" borderId="0" xfId="0" applyNumberFormat="1" applyFont="1" applyFill="1" applyBorder="1" applyAlignment="1">
      <alignment horizontal="left" vertical="center"/>
    </xf>
    <xf numFmtId="166" fontId="5" fillId="2" borderId="0" xfId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171" fontId="17" fillId="6" borderId="0" xfId="0" applyNumberFormat="1" applyFont="1" applyFill="1" applyBorder="1" applyAlignment="1" applyProtection="1">
      <alignment horizontal="left" vertical="center"/>
      <protection hidden="1"/>
    </xf>
    <xf numFmtId="171" fontId="7" fillId="2" borderId="0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6" borderId="0" xfId="0" applyFont="1" applyFill="1" applyBorder="1" applyAlignment="1" applyProtection="1">
      <alignment horizontal="left" vertical="center"/>
      <protection hidden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73" fontId="7" fillId="2" borderId="0" xfId="1" applyNumberFormat="1" applyFont="1" applyFill="1" applyBorder="1" applyAlignment="1">
      <alignment horizontal="left" vertical="center"/>
    </xf>
    <xf numFmtId="1" fontId="10" fillId="2" borderId="1" xfId="1" applyNumberFormat="1" applyFont="1" applyFill="1" applyBorder="1" applyAlignment="1">
      <alignment horizontal="left" vertical="center"/>
    </xf>
    <xf numFmtId="4" fontId="10" fillId="2" borderId="1" xfId="9" applyNumberFormat="1" applyFont="1" applyFill="1" applyBorder="1" applyAlignment="1">
      <alignment horizontal="left" vertical="center"/>
    </xf>
    <xf numFmtId="15" fontId="13" fillId="2" borderId="0" xfId="9" applyNumberFormat="1" applyFont="1" applyFill="1" applyBorder="1" applyAlignment="1">
      <alignment horizontal="left" vertical="center"/>
    </xf>
    <xf numFmtId="0" fontId="10" fillId="2" borderId="0" xfId="7" applyFont="1" applyFill="1" applyBorder="1" applyAlignment="1">
      <alignment horizontal="left" vertical="center"/>
    </xf>
    <xf numFmtId="172" fontId="10" fillId="2" borderId="0" xfId="7" applyNumberFormat="1" applyFont="1" applyFill="1" applyBorder="1" applyAlignment="1">
      <alignment horizontal="left" vertical="center"/>
    </xf>
    <xf numFmtId="0" fontId="10" fillId="2" borderId="0" xfId="6" applyFont="1" applyFill="1" applyBorder="1" applyAlignment="1">
      <alignment horizontal="left" vertical="center"/>
    </xf>
    <xf numFmtId="4" fontId="10" fillId="2" borderId="0" xfId="7" applyNumberFormat="1" applyFont="1" applyFill="1" applyBorder="1" applyAlignment="1">
      <alignment horizontal="left" vertical="center"/>
    </xf>
    <xf numFmtId="172" fontId="10" fillId="2" borderId="0" xfId="6" applyNumberFormat="1" applyFont="1" applyFill="1" applyBorder="1" applyAlignment="1">
      <alignment horizontal="left" vertical="center"/>
    </xf>
    <xf numFmtId="0" fontId="10" fillId="2" borderId="1" xfId="6" applyFont="1" applyFill="1" applyBorder="1" applyAlignment="1">
      <alignment horizontal="left" vertical="center"/>
    </xf>
    <xf numFmtId="0" fontId="10" fillId="2" borderId="2" xfId="6" applyFont="1" applyFill="1" applyBorder="1" applyAlignment="1">
      <alignment horizontal="left" vertical="center"/>
    </xf>
    <xf numFmtId="4" fontId="10" fillId="2" borderId="1" xfId="7" applyNumberFormat="1" applyFont="1" applyFill="1" applyBorder="1" applyAlignment="1">
      <alignment horizontal="left" vertical="center"/>
    </xf>
    <xf numFmtId="10" fontId="6" fillId="3" borderId="0" xfId="2" applyNumberFormat="1" applyFont="1" applyFill="1" applyBorder="1" applyAlignment="1" applyProtection="1">
      <alignment horizontal="left" vertical="center"/>
      <protection hidden="1"/>
    </xf>
    <xf numFmtId="10" fontId="11" fillId="2" borderId="0" xfId="2" applyNumberFormat="1" applyFont="1" applyFill="1" applyBorder="1" applyAlignment="1">
      <alignment horizontal="left" vertical="center"/>
    </xf>
    <xf numFmtId="0" fontId="10" fillId="2" borderId="0" xfId="10" applyFont="1" applyFill="1" applyBorder="1" applyAlignment="1">
      <alignment horizontal="left" vertical="center"/>
    </xf>
    <xf numFmtId="15" fontId="12" fillId="2" borderId="1" xfId="12" applyNumberFormat="1" applyFont="1" applyFill="1" applyBorder="1" applyAlignment="1">
      <alignment horizontal="left" vertical="center"/>
    </xf>
    <xf numFmtId="0" fontId="12" fillId="2" borderId="1" xfId="12" applyFont="1" applyFill="1" applyBorder="1" applyAlignment="1">
      <alignment horizontal="left" vertical="center"/>
    </xf>
    <xf numFmtId="170" fontId="12" fillId="2" borderId="1" xfId="12" applyNumberFormat="1" applyFont="1" applyFill="1" applyBorder="1" applyAlignment="1">
      <alignment horizontal="left" vertical="center"/>
    </xf>
    <xf numFmtId="170" fontId="12" fillId="2" borderId="1" xfId="12" applyNumberFormat="1" applyFont="1" applyFill="1" applyBorder="1" applyAlignment="1">
      <alignment horizontal="left" vertical="center" wrapText="1"/>
    </xf>
    <xf numFmtId="0" fontId="15" fillId="2" borderId="1" xfId="12" applyFont="1" applyFill="1" applyBorder="1" applyAlignment="1">
      <alignment horizontal="left" vertical="center"/>
    </xf>
    <xf numFmtId="4" fontId="15" fillId="2" borderId="1" xfId="12" applyNumberFormat="1" applyFont="1" applyFill="1" applyBorder="1" applyAlignment="1">
      <alignment horizontal="left" vertical="center"/>
    </xf>
    <xf numFmtId="0" fontId="15" fillId="2" borderId="1" xfId="8" applyFont="1" applyFill="1" applyBorder="1" applyAlignment="1">
      <alignment horizontal="left" vertical="center"/>
    </xf>
    <xf numFmtId="174" fontId="10" fillId="2" borderId="0" xfId="9" applyNumberFormat="1" applyFont="1" applyFill="1" applyBorder="1" applyAlignment="1">
      <alignment horizontal="left" vertical="center"/>
    </xf>
    <xf numFmtId="15" fontId="13" fillId="2" borderId="0" xfId="12" applyNumberFormat="1" applyFont="1" applyFill="1" applyBorder="1" applyAlignment="1">
      <alignment horizontal="left" vertical="center"/>
    </xf>
    <xf numFmtId="2" fontId="10" fillId="2" borderId="0" xfId="12" applyNumberFormat="1" applyFont="1" applyFill="1" applyBorder="1" applyAlignment="1">
      <alignment horizontal="left" vertical="center"/>
    </xf>
    <xf numFmtId="4" fontId="10" fillId="2" borderId="0" xfId="12" applyNumberFormat="1" applyFont="1" applyFill="1" applyBorder="1" applyAlignment="1">
      <alignment horizontal="left" vertical="center"/>
    </xf>
    <xf numFmtId="2" fontId="10" fillId="2" borderId="0" xfId="13" applyNumberFormat="1" applyFont="1" applyFill="1" applyBorder="1" applyAlignment="1" applyProtection="1">
      <alignment horizontal="left" vertical="center"/>
    </xf>
    <xf numFmtId="43" fontId="10" fillId="2" borderId="0" xfId="12" applyNumberFormat="1" applyFont="1" applyFill="1" applyBorder="1" applyAlignment="1">
      <alignment horizontal="left" vertical="center"/>
    </xf>
    <xf numFmtId="15" fontId="10" fillId="2" borderId="0" xfId="12" applyNumberFormat="1" applyFont="1" applyFill="1" applyBorder="1" applyAlignment="1">
      <alignment horizontal="left" vertical="center"/>
    </xf>
    <xf numFmtId="1" fontId="14" fillId="2" borderId="0" xfId="1" applyNumberFormat="1" applyFont="1" applyFill="1" applyBorder="1" applyAlignment="1">
      <alignment horizontal="left" vertical="center"/>
    </xf>
    <xf numFmtId="0" fontId="10" fillId="2" borderId="0" xfId="12" applyFont="1" applyFill="1" applyBorder="1" applyAlignment="1">
      <alignment horizontal="left" vertical="center"/>
    </xf>
    <xf numFmtId="10" fontId="14" fillId="2" borderId="0" xfId="2" applyNumberFormat="1" applyFont="1" applyFill="1" applyBorder="1" applyAlignment="1">
      <alignment horizontal="left" vertical="center"/>
    </xf>
    <xf numFmtId="43" fontId="10" fillId="2" borderId="0" xfId="13" applyFont="1" applyFill="1" applyBorder="1" applyAlignment="1" applyProtection="1">
      <alignment horizontal="left" vertical="center"/>
    </xf>
    <xf numFmtId="172" fontId="10" fillId="2" borderId="0" xfId="9" applyNumberFormat="1" applyFont="1" applyFill="1" applyBorder="1" applyAlignment="1">
      <alignment horizontal="left" vertical="center"/>
    </xf>
    <xf numFmtId="10" fontId="10" fillId="2" borderId="0" xfId="11" applyNumberFormat="1" applyFont="1" applyFill="1" applyBorder="1" applyAlignment="1">
      <alignment horizontal="left" vertical="center"/>
    </xf>
    <xf numFmtId="166" fontId="10" fillId="2" borderId="0" xfId="1" applyFont="1" applyFill="1" applyBorder="1" applyAlignment="1">
      <alignment horizontal="left" vertical="center"/>
    </xf>
    <xf numFmtId="0" fontId="10" fillId="2" borderId="1" xfId="8" applyFont="1" applyFill="1" applyBorder="1" applyAlignment="1">
      <alignment horizontal="left" vertical="center"/>
    </xf>
    <xf numFmtId="169" fontId="10" fillId="2" borderId="3" xfId="1" applyNumberFormat="1" applyFont="1" applyFill="1" applyBorder="1" applyAlignment="1">
      <alignment horizontal="left" vertical="center"/>
    </xf>
    <xf numFmtId="10" fontId="14" fillId="2" borderId="1" xfId="2" applyNumberFormat="1" applyFont="1" applyFill="1" applyBorder="1" applyAlignment="1">
      <alignment horizontal="left" vertical="center"/>
    </xf>
    <xf numFmtId="4" fontId="10" fillId="2" borderId="1" xfId="12" applyNumberFormat="1" applyFont="1" applyFill="1" applyBorder="1" applyAlignment="1">
      <alignment horizontal="left" vertical="center"/>
    </xf>
    <xf numFmtId="0" fontId="10" fillId="2" borderId="5" xfId="8" applyFont="1" applyFill="1" applyBorder="1" applyAlignment="1">
      <alignment horizontal="left" vertical="center"/>
    </xf>
    <xf numFmtId="0" fontId="10" fillId="2" borderId="6" xfId="8" applyFont="1" applyFill="1" applyBorder="1" applyAlignment="1">
      <alignment horizontal="left" vertical="center"/>
    </xf>
    <xf numFmtId="4" fontId="10" fillId="2" borderId="6" xfId="8" applyNumberFormat="1" applyFont="1" applyFill="1" applyBorder="1" applyAlignment="1">
      <alignment horizontal="left" vertical="center"/>
    </xf>
    <xf numFmtId="168" fontId="16" fillId="2" borderId="0" xfId="1" applyNumberFormat="1" applyFont="1" applyFill="1" applyBorder="1" applyAlignment="1" applyProtection="1">
      <alignment horizontal="left" vertical="center"/>
      <protection hidden="1"/>
    </xf>
    <xf numFmtId="0" fontId="5" fillId="2" borderId="0" xfId="0" applyFont="1" applyFill="1"/>
    <xf numFmtId="2" fontId="5" fillId="2" borderId="0" xfId="0" applyNumberFormat="1" applyFont="1" applyFill="1" applyBorder="1"/>
    <xf numFmtId="0" fontId="5" fillId="2" borderId="1" xfId="0" applyFont="1" applyFill="1" applyBorder="1"/>
    <xf numFmtId="0" fontId="5" fillId="2" borderId="0" xfId="0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2" fontId="5" fillId="2" borderId="11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2" fontId="5" fillId="4" borderId="11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65" fontId="5" fillId="2" borderId="0" xfId="14" applyFont="1" applyFill="1" applyBorder="1"/>
    <xf numFmtId="0" fontId="5" fillId="2" borderId="15" xfId="0" applyFont="1" applyFill="1" applyBorder="1" applyAlignment="1">
      <alignment horizontal="center"/>
    </xf>
    <xf numFmtId="165" fontId="5" fillId="2" borderId="19" xfId="14" applyFont="1" applyFill="1" applyBorder="1"/>
    <xf numFmtId="0" fontId="5" fillId="9" borderId="0" xfId="0" applyFont="1" applyFill="1"/>
    <xf numFmtId="0" fontId="11" fillId="9" borderId="0" xfId="0" applyFont="1" applyFill="1"/>
    <xf numFmtId="0" fontId="5" fillId="2" borderId="9" xfId="0" applyFont="1" applyFill="1" applyBorder="1" applyAlignment="1">
      <alignment horizontal="left"/>
    </xf>
    <xf numFmtId="2" fontId="5" fillId="2" borderId="11" xfId="0" applyNumberFormat="1" applyFont="1" applyFill="1" applyBorder="1" applyAlignment="1">
      <alignment horizontal="left"/>
    </xf>
    <xf numFmtId="165" fontId="5" fillId="2" borderId="0" xfId="14" applyFont="1" applyFill="1" applyBorder="1" applyAlignment="1">
      <alignment horizontal="left"/>
    </xf>
    <xf numFmtId="0" fontId="5" fillId="10" borderId="9" xfId="0" applyFont="1" applyFill="1" applyBorder="1" applyAlignment="1">
      <alignment horizontal="left"/>
    </xf>
    <xf numFmtId="2" fontId="5" fillId="10" borderId="11" xfId="0" applyNumberFormat="1" applyFont="1" applyFill="1" applyBorder="1" applyAlignment="1">
      <alignment horizontal="left"/>
    </xf>
    <xf numFmtId="2" fontId="5" fillId="10" borderId="0" xfId="0" applyNumberFormat="1" applyFont="1" applyFill="1" applyAlignment="1">
      <alignment horizontal="left"/>
    </xf>
    <xf numFmtId="0" fontId="5" fillId="2" borderId="15" xfId="0" applyFont="1" applyFill="1" applyBorder="1" applyAlignment="1">
      <alignment horizontal="left"/>
    </xf>
    <xf numFmtId="2" fontId="5" fillId="2" borderId="16" xfId="0" applyNumberFormat="1" applyFont="1" applyFill="1" applyBorder="1" applyAlignment="1">
      <alignment horizontal="left"/>
    </xf>
    <xf numFmtId="165" fontId="5" fillId="2" borderId="19" xfId="14" applyFont="1" applyFill="1" applyBorder="1" applyAlignment="1">
      <alignment horizontal="left"/>
    </xf>
    <xf numFmtId="0" fontId="6" fillId="9" borderId="0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11" fillId="9" borderId="0" xfId="0" applyFont="1" applyFill="1" applyBorder="1" applyAlignment="1">
      <alignment horizontal="center"/>
    </xf>
    <xf numFmtId="171" fontId="6" fillId="9" borderId="8" xfId="0" applyNumberFormat="1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2" fontId="12" fillId="2" borderId="1" xfId="0" applyNumberFormat="1" applyFont="1" applyFill="1" applyBorder="1" applyAlignment="1">
      <alignment horizontal="left"/>
    </xf>
    <xf numFmtId="3" fontId="23" fillId="4" borderId="20" xfId="14" applyNumberFormat="1" applyFont="1" applyFill="1" applyBorder="1" applyAlignment="1">
      <alignment vertical="center"/>
    </xf>
    <xf numFmtId="165" fontId="5" fillId="4" borderId="0" xfId="14" applyFont="1" applyFill="1" applyBorder="1"/>
    <xf numFmtId="3" fontId="23" fillId="2" borderId="20" xfId="14" applyNumberFormat="1" applyFont="1" applyFill="1" applyBorder="1" applyAlignment="1">
      <alignment vertical="center"/>
    </xf>
    <xf numFmtId="3" fontId="23" fillId="4" borderId="18" xfId="14" applyNumberFormat="1" applyFont="1" applyFill="1" applyBorder="1" applyAlignment="1">
      <alignment vertical="center"/>
    </xf>
    <xf numFmtId="3" fontId="23" fillId="2" borderId="21" xfId="14" applyNumberFormat="1" applyFont="1" applyFill="1" applyBorder="1" applyAlignment="1">
      <alignment vertical="center"/>
    </xf>
    <xf numFmtId="0" fontId="5" fillId="2" borderId="1" xfId="0" applyFont="1" applyFill="1" applyBorder="1"/>
    <xf numFmtId="2" fontId="5" fillId="2" borderId="16" xfId="0" applyNumberFormat="1" applyFont="1" applyFill="1" applyBorder="1" applyAlignment="1">
      <alignment horizontal="center"/>
    </xf>
    <xf numFmtId="3" fontId="23" fillId="2" borderId="17" xfId="14" applyNumberFormat="1" applyFont="1" applyFill="1" applyBorder="1" applyAlignment="1">
      <alignment vertical="center"/>
    </xf>
    <xf numFmtId="3" fontId="23" fillId="2" borderId="18" xfId="14" applyNumberFormat="1" applyFont="1" applyFill="1" applyBorder="1" applyAlignment="1">
      <alignment vertical="center"/>
    </xf>
    <xf numFmtId="0" fontId="5" fillId="2" borderId="0" xfId="0" applyFont="1" applyFill="1" applyBorder="1"/>
    <xf numFmtId="0" fontId="21" fillId="2" borderId="1" xfId="0" applyFont="1" applyFill="1" applyBorder="1"/>
    <xf numFmtId="166" fontId="2" fillId="2" borderId="0" xfId="1" applyFont="1" applyFill="1" applyBorder="1" applyAlignment="1" applyProtection="1">
      <alignment horizontal="center" vertical="center"/>
      <protection hidden="1"/>
    </xf>
    <xf numFmtId="4" fontId="10" fillId="2" borderId="0" xfId="9" applyNumberFormat="1" applyFont="1" applyFill="1" applyAlignment="1">
      <alignment horizontal="left" vertical="center"/>
    </xf>
    <xf numFmtId="2" fontId="10" fillId="2" borderId="0" xfId="0" applyNumberFormat="1" applyFont="1" applyFill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left" vertical="center"/>
    </xf>
    <xf numFmtId="2" fontId="10" fillId="2" borderId="1" xfId="13" applyNumberFormat="1" applyFont="1" applyFill="1" applyBorder="1" applyAlignment="1" applyProtection="1">
      <alignment horizontal="left" vertical="center"/>
    </xf>
    <xf numFmtId="0" fontId="6" fillId="9" borderId="12" xfId="0" applyFont="1" applyFill="1" applyBorder="1" applyAlignment="1"/>
    <xf numFmtId="171" fontId="6" fillId="9" borderId="7" xfId="0" applyNumberFormat="1" applyFont="1" applyFill="1" applyBorder="1"/>
    <xf numFmtId="169" fontId="10" fillId="2" borderId="0" xfId="8" applyNumberFormat="1" applyFont="1" applyFill="1" applyBorder="1" applyAlignment="1">
      <alignment vertical="center"/>
    </xf>
    <xf numFmtId="176" fontId="5" fillId="2" borderId="0" xfId="0" applyNumberFormat="1" applyFont="1" applyFill="1" applyBorder="1" applyAlignment="1">
      <alignment horizontal="left" vertical="center"/>
    </xf>
    <xf numFmtId="176" fontId="8" fillId="4" borderId="0" xfId="0" applyNumberFormat="1" applyFont="1" applyFill="1" applyBorder="1" applyAlignment="1" applyProtection="1">
      <alignment horizontal="left" vertical="center"/>
      <protection hidden="1"/>
    </xf>
    <xf numFmtId="176" fontId="11" fillId="2" borderId="0" xfId="0" applyNumberFormat="1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2" fillId="8" borderId="0" xfId="0" applyFont="1" applyFill="1"/>
    <xf numFmtId="4" fontId="12" fillId="8" borderId="0" xfId="0" applyNumberFormat="1" applyFont="1" applyFill="1" applyAlignment="1">
      <alignment horizontal="center"/>
    </xf>
    <xf numFmtId="2" fontId="12" fillId="8" borderId="0" xfId="0" applyNumberFormat="1" applyFont="1" applyFill="1" applyAlignment="1">
      <alignment horizontal="center"/>
    </xf>
    <xf numFmtId="169" fontId="10" fillId="2" borderId="22" xfId="1" applyNumberFormat="1" applyFont="1" applyFill="1" applyBorder="1" applyAlignment="1">
      <alignment horizontal="left" vertical="center"/>
    </xf>
    <xf numFmtId="15" fontId="10" fillId="2" borderId="23" xfId="9" applyNumberFormat="1" applyFont="1" applyFill="1" applyBorder="1" applyAlignment="1">
      <alignment horizontal="left" vertical="center"/>
    </xf>
    <xf numFmtId="1" fontId="10" fillId="2" borderId="23" xfId="1" applyNumberFormat="1" applyFont="1" applyFill="1" applyBorder="1" applyAlignment="1">
      <alignment horizontal="left" vertical="center"/>
    </xf>
    <xf numFmtId="10" fontId="10" fillId="2" borderId="23" xfId="2" applyNumberFormat="1" applyFont="1" applyFill="1" applyBorder="1" applyAlignment="1">
      <alignment horizontal="left" vertical="center"/>
    </xf>
    <xf numFmtId="4" fontId="10" fillId="2" borderId="23" xfId="9" applyNumberFormat="1" applyFont="1" applyFill="1" applyBorder="1" applyAlignment="1">
      <alignment horizontal="left" vertical="center"/>
    </xf>
    <xf numFmtId="2" fontId="10" fillId="2" borderId="23" xfId="0" applyNumberFormat="1" applyFont="1" applyFill="1" applyBorder="1" applyAlignment="1">
      <alignment horizontal="left" vertical="center"/>
    </xf>
    <xf numFmtId="2" fontId="10" fillId="2" borderId="23" xfId="8" applyNumberFormat="1" applyFont="1" applyFill="1" applyBorder="1" applyAlignment="1">
      <alignment horizontal="left" vertical="center"/>
    </xf>
    <xf numFmtId="2" fontId="10" fillId="2" borderId="23" xfId="7" applyNumberFormat="1" applyFont="1" applyFill="1" applyBorder="1" applyAlignment="1">
      <alignment horizontal="left" vertical="center"/>
    </xf>
    <xf numFmtId="167" fontId="3" fillId="2" borderId="23" xfId="0" applyNumberFormat="1" applyFont="1" applyFill="1" applyBorder="1" applyAlignment="1" applyProtection="1">
      <alignment horizontal="center" vertical="center"/>
      <protection hidden="1"/>
    </xf>
    <xf numFmtId="165" fontId="10" fillId="2" borderId="23" xfId="8" applyNumberFormat="1" applyFont="1" applyFill="1" applyBorder="1" applyAlignment="1">
      <alignment vertical="center"/>
    </xf>
    <xf numFmtId="2" fontId="10" fillId="2" borderId="23" xfId="7" applyNumberFormat="1" applyFont="1" applyFill="1" applyBorder="1" applyAlignment="1">
      <alignment horizontal="center" vertical="center"/>
    </xf>
    <xf numFmtId="10" fontId="14" fillId="2" borderId="23" xfId="2" applyNumberFormat="1" applyFont="1" applyFill="1" applyBorder="1" applyAlignment="1">
      <alignment horizontal="left" vertical="center"/>
    </xf>
    <xf numFmtId="4" fontId="10" fillId="2" borderId="23" xfId="12" applyNumberFormat="1" applyFont="1" applyFill="1" applyBorder="1" applyAlignment="1">
      <alignment horizontal="left" vertical="center"/>
    </xf>
    <xf numFmtId="2" fontId="10" fillId="2" borderId="23" xfId="13" applyNumberFormat="1" applyFont="1" applyFill="1" applyBorder="1" applyAlignment="1" applyProtection="1">
      <alignment horizontal="left" vertical="center"/>
    </xf>
    <xf numFmtId="0" fontId="15" fillId="2" borderId="1" xfId="9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  <protection hidden="1"/>
    </xf>
    <xf numFmtId="171" fontId="7" fillId="2" borderId="0" xfId="0" applyNumberFormat="1" applyFont="1" applyFill="1" applyBorder="1" applyAlignment="1" applyProtection="1">
      <alignment horizontal="center" vertical="center"/>
      <protection hidden="1"/>
    </xf>
    <xf numFmtId="169" fontId="7" fillId="2" borderId="0" xfId="1" applyNumberFormat="1" applyFont="1" applyFill="1" applyBorder="1" applyAlignment="1" applyProtection="1">
      <alignment horizontal="center" vertical="center"/>
      <protection hidden="1"/>
    </xf>
    <xf numFmtId="3" fontId="7" fillId="2" borderId="0" xfId="0" applyNumberFormat="1" applyFont="1" applyFill="1" applyBorder="1" applyAlignment="1" applyProtection="1">
      <alignment horizontal="center" vertical="center"/>
      <protection hidden="1"/>
    </xf>
    <xf numFmtId="2" fontId="7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Border="1" applyAlignment="1" applyProtection="1">
      <alignment horizontal="center" vertical="center"/>
      <protection hidden="1"/>
    </xf>
    <xf numFmtId="4" fontId="7" fillId="2" borderId="0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>
      <alignment horizontal="center" vertical="center"/>
    </xf>
    <xf numFmtId="169" fontId="6" fillId="3" borderId="0" xfId="1" applyNumberFormat="1" applyFont="1" applyFill="1" applyBorder="1" applyAlignment="1" applyProtection="1">
      <alignment horizontal="center" vertical="center"/>
      <protection hidden="1"/>
    </xf>
    <xf numFmtId="10" fontId="6" fillId="3" borderId="0" xfId="2" applyNumberFormat="1" applyFont="1" applyFill="1" applyBorder="1" applyAlignment="1" applyProtection="1">
      <alignment horizontal="center" vertical="center"/>
      <protection locked="0"/>
    </xf>
    <xf numFmtId="2" fontId="6" fillId="3" borderId="0" xfId="2" applyNumberFormat="1" applyFont="1" applyFill="1" applyBorder="1" applyAlignment="1" applyProtection="1">
      <alignment horizontal="center" vertical="center"/>
      <protection locked="0"/>
    </xf>
    <xf numFmtId="10" fontId="8" fillId="4" borderId="0" xfId="0" applyNumberFormat="1" applyFont="1" applyFill="1" applyBorder="1" applyAlignment="1" applyProtection="1">
      <alignment horizontal="center" vertical="center"/>
      <protection hidden="1"/>
    </xf>
    <xf numFmtId="10" fontId="8" fillId="2" borderId="0" xfId="0" applyNumberFormat="1" applyFont="1" applyFill="1" applyBorder="1" applyAlignment="1" applyProtection="1">
      <alignment horizontal="center" vertical="center"/>
      <protection hidden="1"/>
    </xf>
    <xf numFmtId="168" fontId="7" fillId="2" borderId="0" xfId="1" applyNumberFormat="1" applyFont="1" applyFill="1" applyBorder="1" applyAlignment="1" applyProtection="1">
      <alignment horizontal="center" vertical="center"/>
      <protection hidden="1"/>
    </xf>
    <xf numFmtId="0" fontId="15" fillId="2" borderId="0" xfId="6" applyFont="1" applyFill="1" applyBorder="1" applyAlignment="1">
      <alignment horizontal="center" vertical="center"/>
    </xf>
    <xf numFmtId="0" fontId="10" fillId="2" borderId="2" xfId="6" applyFont="1" applyFill="1" applyBorder="1" applyAlignment="1">
      <alignment horizontal="center" vertical="center"/>
    </xf>
    <xf numFmtId="0" fontId="15" fillId="2" borderId="3" xfId="6" applyFont="1" applyFill="1" applyBorder="1" applyAlignment="1">
      <alignment horizontal="center" vertical="center"/>
    </xf>
    <xf numFmtId="0" fontId="15" fillId="2" borderId="1" xfId="7" applyFont="1" applyFill="1" applyBorder="1" applyAlignment="1">
      <alignment horizontal="center" vertical="center"/>
    </xf>
    <xf numFmtId="174" fontId="10" fillId="2" borderId="0" xfId="7" applyNumberFormat="1" applyFont="1" applyFill="1" applyBorder="1" applyAlignment="1">
      <alignment horizontal="center" vertical="center"/>
    </xf>
    <xf numFmtId="174" fontId="10" fillId="2" borderId="2" xfId="6" applyNumberFormat="1" applyFont="1" applyFill="1" applyBorder="1" applyAlignment="1">
      <alignment horizontal="center" vertical="center"/>
    </xf>
    <xf numFmtId="15" fontId="14" fillId="2" borderId="0" xfId="7" applyNumberFormat="1" applyFont="1" applyFill="1" applyBorder="1" applyAlignment="1">
      <alignment horizontal="center" vertical="center"/>
    </xf>
    <xf numFmtId="15" fontId="15" fillId="2" borderId="0" xfId="7" applyNumberFormat="1" applyFont="1" applyFill="1" applyBorder="1" applyAlignment="1">
      <alignment horizontal="center" vertical="center"/>
    </xf>
    <xf numFmtId="4" fontId="15" fillId="2" borderId="0" xfId="7" applyNumberFormat="1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10" fillId="2" borderId="0" xfId="7" applyFont="1" applyFill="1" applyBorder="1" applyAlignment="1">
      <alignment horizontal="center" vertical="center"/>
    </xf>
    <xf numFmtId="15" fontId="10" fillId="2" borderId="0" xfId="7" applyNumberFormat="1" applyFont="1" applyFill="1" applyBorder="1" applyAlignment="1">
      <alignment horizontal="center" vertical="center"/>
    </xf>
    <xf numFmtId="15" fontId="10" fillId="2" borderId="0" xfId="9" applyNumberFormat="1" applyFont="1" applyFill="1" applyBorder="1" applyAlignment="1">
      <alignment horizontal="center" vertical="center"/>
    </xf>
    <xf numFmtId="1" fontId="10" fillId="2" borderId="0" xfId="1" applyNumberFormat="1" applyFont="1" applyFill="1" applyBorder="1" applyAlignment="1">
      <alignment horizontal="center" vertical="center"/>
    </xf>
    <xf numFmtId="10" fontId="14" fillId="2" borderId="0" xfId="7" applyNumberFormat="1" applyFont="1" applyFill="1" applyBorder="1" applyAlignment="1">
      <alignment horizontal="center" vertical="center"/>
    </xf>
    <xf numFmtId="4" fontId="10" fillId="2" borderId="0" xfId="7" applyNumberFormat="1" applyFont="1" applyFill="1" applyBorder="1" applyAlignment="1">
      <alignment horizontal="center" vertical="center"/>
    </xf>
    <xf numFmtId="2" fontId="14" fillId="2" borderId="0" xfId="7" applyNumberFormat="1" applyFont="1" applyFill="1" applyBorder="1" applyAlignment="1">
      <alignment horizontal="center" vertical="center"/>
    </xf>
    <xf numFmtId="4" fontId="10" fillId="2" borderId="0" xfId="9" applyNumberFormat="1" applyFont="1" applyFill="1" applyBorder="1" applyAlignment="1">
      <alignment horizontal="center" vertical="center"/>
    </xf>
    <xf numFmtId="10" fontId="10" fillId="2" borderId="0" xfId="2" applyNumberFormat="1" applyFont="1" applyFill="1" applyBorder="1" applyAlignment="1">
      <alignment horizontal="center" vertical="center"/>
    </xf>
    <xf numFmtId="172" fontId="10" fillId="2" borderId="0" xfId="7" applyNumberFormat="1" applyFont="1" applyFill="1" applyBorder="1" applyAlignment="1">
      <alignment horizontal="center" vertical="center"/>
    </xf>
    <xf numFmtId="2" fontId="10" fillId="2" borderId="0" xfId="0" applyNumberFormat="1" applyFont="1" applyFill="1" applyBorder="1" applyAlignment="1">
      <alignment horizontal="center" vertical="center"/>
    </xf>
    <xf numFmtId="0" fontId="10" fillId="2" borderId="22" xfId="6" applyFont="1" applyFill="1" applyBorder="1" applyAlignment="1">
      <alignment horizontal="center" vertical="center"/>
    </xf>
    <xf numFmtId="15" fontId="10" fillId="2" borderId="23" xfId="9" applyNumberFormat="1" applyFont="1" applyFill="1" applyBorder="1" applyAlignment="1">
      <alignment horizontal="center" vertical="center"/>
    </xf>
    <xf numFmtId="1" fontId="10" fillId="2" borderId="23" xfId="1" applyNumberFormat="1" applyFont="1" applyFill="1" applyBorder="1" applyAlignment="1">
      <alignment horizontal="center" vertical="center"/>
    </xf>
    <xf numFmtId="10" fontId="14" fillId="2" borderId="23" xfId="7" applyNumberFormat="1" applyFont="1" applyFill="1" applyBorder="1" applyAlignment="1">
      <alignment horizontal="center" vertical="center"/>
    </xf>
    <xf numFmtId="4" fontId="10" fillId="2" borderId="23" xfId="7" applyNumberFormat="1" applyFont="1" applyFill="1" applyBorder="1" applyAlignment="1">
      <alignment horizontal="center" vertical="center"/>
    </xf>
    <xf numFmtId="4" fontId="10" fillId="2" borderId="23" xfId="9" applyNumberFormat="1" applyFont="1" applyFill="1" applyBorder="1" applyAlignment="1">
      <alignment horizontal="center" vertical="center"/>
    </xf>
    <xf numFmtId="2" fontId="10" fillId="2" borderId="23" xfId="0" applyNumberFormat="1" applyFont="1" applyFill="1" applyBorder="1" applyAlignment="1">
      <alignment horizontal="center" vertical="center"/>
    </xf>
    <xf numFmtId="168" fontId="16" fillId="2" borderId="0" xfId="1" applyNumberFormat="1" applyFont="1" applyFill="1" applyBorder="1" applyAlignment="1" applyProtection="1">
      <alignment horizontal="center" vertical="center"/>
      <protection hidden="1"/>
    </xf>
    <xf numFmtId="0" fontId="10" fillId="2" borderId="0" xfId="9" applyFont="1" applyFill="1" applyBorder="1" applyAlignment="1">
      <alignment horizontal="center" vertical="center"/>
    </xf>
    <xf numFmtId="172" fontId="10" fillId="2" borderId="0" xfId="6" applyNumberFormat="1" applyFont="1" applyFill="1" applyBorder="1" applyAlignment="1">
      <alignment horizontal="center" vertical="center"/>
    </xf>
    <xf numFmtId="0" fontId="10" fillId="2" borderId="3" xfId="6" applyFont="1" applyFill="1" applyBorder="1" applyAlignment="1">
      <alignment horizontal="center" vertical="center"/>
    </xf>
    <xf numFmtId="1" fontId="10" fillId="2" borderId="1" xfId="1" applyNumberFormat="1" applyFont="1" applyFill="1" applyBorder="1" applyAlignment="1">
      <alignment horizontal="center" vertical="center"/>
    </xf>
    <xf numFmtId="10" fontId="14" fillId="2" borderId="1" xfId="7" applyNumberFormat="1" applyFont="1" applyFill="1" applyBorder="1" applyAlignment="1">
      <alignment horizontal="center" vertical="center"/>
    </xf>
    <xf numFmtId="4" fontId="10" fillId="2" borderId="1" xfId="7" applyNumberFormat="1" applyFont="1" applyFill="1" applyBorder="1" applyAlignment="1">
      <alignment horizontal="center" vertical="center"/>
    </xf>
    <xf numFmtId="4" fontId="10" fillId="2" borderId="1" xfId="9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14" fillId="2" borderId="0" xfId="6" applyFont="1" applyFill="1" applyBorder="1" applyAlignment="1">
      <alignment horizontal="center" vertical="center"/>
    </xf>
    <xf numFmtId="9" fontId="10" fillId="2" borderId="2" xfId="2" applyFont="1" applyFill="1" applyBorder="1" applyAlignment="1">
      <alignment horizontal="center" vertical="center"/>
    </xf>
    <xf numFmtId="15" fontId="10" fillId="2" borderId="1" xfId="9" applyNumberFormat="1" applyFont="1" applyFill="1" applyBorder="1" applyAlignment="1">
      <alignment horizontal="center" vertical="center"/>
    </xf>
    <xf numFmtId="171" fontId="10" fillId="2" borderId="23" xfId="1" applyNumberFormat="1" applyFont="1" applyFill="1" applyBorder="1" applyAlignment="1">
      <alignment horizontal="left" vertical="center"/>
    </xf>
    <xf numFmtId="171" fontId="10" fillId="2" borderId="0" xfId="1" applyNumberFormat="1" applyFont="1" applyFill="1" applyBorder="1" applyAlignment="1">
      <alignment horizontal="left" vertical="center"/>
    </xf>
    <xf numFmtId="171" fontId="10" fillId="2" borderId="1" xfId="1" applyNumberFormat="1" applyFont="1" applyFill="1" applyBorder="1" applyAlignment="1">
      <alignment horizontal="left" vertical="center"/>
    </xf>
    <xf numFmtId="177" fontId="10" fillId="2" borderId="0" xfId="8" applyNumberFormat="1" applyFont="1" applyFill="1" applyBorder="1" applyAlignment="1">
      <alignment horizontal="center" vertical="center"/>
    </xf>
    <xf numFmtId="177" fontId="2" fillId="2" borderId="0" xfId="1" applyNumberFormat="1" applyFont="1" applyFill="1" applyBorder="1" applyAlignment="1" applyProtection="1">
      <alignment horizontal="center" vertical="center"/>
      <protection hidden="1"/>
    </xf>
    <xf numFmtId="177" fontId="3" fillId="2" borderId="0" xfId="0" applyNumberFormat="1" applyFont="1" applyFill="1" applyAlignment="1" applyProtection="1">
      <alignment horizontal="center" vertical="center"/>
      <protection hidden="1"/>
    </xf>
    <xf numFmtId="177" fontId="3" fillId="2" borderId="23" xfId="0" applyNumberFormat="1" applyFont="1" applyFill="1" applyBorder="1" applyAlignment="1" applyProtection="1">
      <alignment horizontal="center" vertical="center"/>
      <protection hidden="1"/>
    </xf>
    <xf numFmtId="177" fontId="10" fillId="2" borderId="23" xfId="8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 applyProtection="1">
      <alignment horizontal="center" vertical="center"/>
      <protection hidden="1"/>
    </xf>
    <xf numFmtId="177" fontId="3" fillId="2" borderId="1" xfId="0" applyNumberFormat="1" applyFont="1" applyFill="1" applyBorder="1" applyAlignment="1" applyProtection="1">
      <alignment horizontal="center" vertical="center"/>
      <protection hidden="1"/>
    </xf>
    <xf numFmtId="177" fontId="10" fillId="2" borderId="1" xfId="8" applyNumberFormat="1" applyFont="1" applyFill="1" applyBorder="1" applyAlignment="1">
      <alignment horizontal="center" vertical="center"/>
    </xf>
    <xf numFmtId="170" fontId="10" fillId="2" borderId="0" xfId="10" applyNumberFormat="1" applyFont="1" applyFill="1" applyBorder="1" applyAlignment="1">
      <alignment horizontal="right" vertical="center"/>
    </xf>
    <xf numFmtId="170" fontId="10" fillId="2" borderId="0" xfId="8" applyNumberFormat="1" applyFont="1" applyFill="1" applyBorder="1" applyAlignment="1">
      <alignment horizontal="right" vertical="center"/>
    </xf>
    <xf numFmtId="170" fontId="12" fillId="2" borderId="1" xfId="12" applyNumberFormat="1" applyFont="1" applyFill="1" applyBorder="1" applyAlignment="1">
      <alignment horizontal="right" vertical="center"/>
    </xf>
    <xf numFmtId="170" fontId="10" fillId="2" borderId="0" xfId="12" applyNumberFormat="1" applyFont="1" applyFill="1" applyBorder="1" applyAlignment="1">
      <alignment horizontal="right" vertical="center"/>
    </xf>
    <xf numFmtId="170" fontId="2" fillId="2" borderId="0" xfId="1" applyNumberFormat="1" applyFont="1" applyFill="1" applyBorder="1" applyAlignment="1" applyProtection="1">
      <alignment horizontal="right" vertical="center"/>
      <protection hidden="1"/>
    </xf>
    <xf numFmtId="170" fontId="3" fillId="2" borderId="0" xfId="0" applyNumberFormat="1" applyFont="1" applyFill="1" applyAlignment="1" applyProtection="1">
      <alignment horizontal="right" vertical="center"/>
      <protection hidden="1"/>
    </xf>
    <xf numFmtId="170" fontId="3" fillId="2" borderId="0" xfId="0" applyNumberFormat="1" applyFont="1" applyFill="1" applyBorder="1" applyAlignment="1" applyProtection="1">
      <alignment horizontal="right" vertical="center"/>
      <protection hidden="1"/>
    </xf>
    <xf numFmtId="170" fontId="3" fillId="2" borderId="23" xfId="0" applyNumberFormat="1" applyFont="1" applyFill="1" applyBorder="1" applyAlignment="1" applyProtection="1">
      <alignment horizontal="right" vertical="center"/>
      <protection hidden="1"/>
    </xf>
    <xf numFmtId="170" fontId="10" fillId="2" borderId="23" xfId="8" applyNumberFormat="1" applyFont="1" applyFill="1" applyBorder="1" applyAlignment="1">
      <alignment horizontal="right" vertical="center"/>
    </xf>
    <xf numFmtId="170" fontId="3" fillId="2" borderId="1" xfId="0" applyNumberFormat="1" applyFont="1" applyFill="1" applyBorder="1" applyAlignment="1" applyProtection="1">
      <alignment horizontal="right" vertical="center"/>
      <protection hidden="1"/>
    </xf>
    <xf numFmtId="170" fontId="10" fillId="2" borderId="1" xfId="8" applyNumberFormat="1" applyFont="1" applyFill="1" applyBorder="1" applyAlignment="1">
      <alignment horizontal="right" vertical="center"/>
    </xf>
    <xf numFmtId="176" fontId="8" fillId="2" borderId="0" xfId="0" applyNumberFormat="1" applyFont="1" applyFill="1" applyBorder="1" applyAlignment="1" applyProtection="1">
      <alignment horizontal="left" vertical="center"/>
      <protection hidden="1"/>
    </xf>
    <xf numFmtId="0" fontId="24" fillId="2" borderId="0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 applyProtection="1">
      <alignment horizontal="left" vertical="center"/>
      <protection hidden="1"/>
    </xf>
    <xf numFmtId="0" fontId="6" fillId="5" borderId="0" xfId="0" applyFont="1" applyFill="1" applyAlignment="1" applyProtection="1">
      <alignment horizontal="left" vertical="center"/>
      <protection hidden="1"/>
    </xf>
    <xf numFmtId="0" fontId="15" fillId="2" borderId="1" xfId="9" applyFont="1" applyFill="1" applyBorder="1" applyAlignment="1">
      <alignment horizontal="left" vertical="center"/>
    </xf>
    <xf numFmtId="0" fontId="15" fillId="2" borderId="1" xfId="7" applyFont="1" applyFill="1" applyBorder="1" applyAlignment="1">
      <alignment horizontal="center" vertical="center"/>
    </xf>
    <xf numFmtId="0" fontId="15" fillId="2" borderId="4" xfId="7" applyFont="1" applyFill="1" applyBorder="1" applyAlignment="1">
      <alignment horizontal="center" vertical="center"/>
    </xf>
  </cellXfs>
  <cellStyles count="18">
    <cellStyle name="AFE" xfId="17"/>
    <cellStyle name="Cambiar to&amp;do" xfId="6"/>
    <cellStyle name="Cambiar to&amp;do 2" xfId="10"/>
    <cellStyle name="Millares" xfId="1" builtinId="3"/>
    <cellStyle name="Millares 16" xfId="13"/>
    <cellStyle name="Millares 2" xfId="3"/>
    <cellStyle name="Millares 2 2" xfId="4"/>
    <cellStyle name="Millares 3" xfId="14"/>
    <cellStyle name="Moneda 2" xfId="15"/>
    <cellStyle name="Normal" xfId="0" builtinId="0"/>
    <cellStyle name="Normal 2" xfId="5"/>
    <cellStyle name="Normal 2 2" xfId="16"/>
    <cellStyle name="Normal 3" xfId="8"/>
    <cellStyle name="Normal 5" xfId="12"/>
    <cellStyle name="Normal_Excel Bloomberg (Títulos y ONs Bancos) NOBACS" xfId="7"/>
    <cellStyle name="Normal_Excel Bloomberg (Títulos y ONs Bancos) NOBACS 2" xfId="9"/>
    <cellStyle name="Porcentaje" xfId="2" builtinId="5"/>
    <cellStyle name="Porcentaje 2" xfId="11"/>
  </cellStyles>
  <dxfs count="0"/>
  <tableStyles count="0" defaultTableStyle="TableStyleMedium9" defaultPivotStyle="PivotStyleLight16"/>
  <colors>
    <mruColors>
      <color rgb="FFE1EDA5"/>
      <color rgb="FFA8C227"/>
      <color rgb="FF003399"/>
      <color rgb="FFFF6600"/>
      <color rgb="FF006600"/>
      <color rgb="FF0250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Curva CER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4.3759249409579752E-2"/>
                  <c:y val="0.236476896806808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</c:trendlineLbl>
          </c:trendline>
          <c:xVal>
            <c:numRef>
              <c:f>'Interpolacion Curva'!$C$22:$C$32</c:f>
              <c:numCache>
                <c:formatCode>0.00</c:formatCode>
                <c:ptCount val="11"/>
                <c:pt idx="0">
                  <c:v>0.66900000000000004</c:v>
                </c:pt>
                <c:pt idx="1">
                  <c:v>1.18</c:v>
                </c:pt>
                <c:pt idx="2">
                  <c:v>1.573</c:v>
                </c:pt>
                <c:pt idx="3">
                  <c:v>1.6480000000000001</c:v>
                </c:pt>
                <c:pt idx="4">
                  <c:v>2.5750000000000002</c:v>
                </c:pt>
                <c:pt idx="5">
                  <c:v>3.4290000000000003</c:v>
                </c:pt>
                <c:pt idx="6">
                  <c:v>3.9670000000000001</c:v>
                </c:pt>
                <c:pt idx="7">
                  <c:v>4.4729999999999999</c:v>
                </c:pt>
                <c:pt idx="8">
                  <c:v>5.6559999999999997</c:v>
                </c:pt>
                <c:pt idx="9">
                  <c:v>9.4420000000000002</c:v>
                </c:pt>
                <c:pt idx="10">
                  <c:v>10.842000000000001</c:v>
                </c:pt>
              </c:numCache>
            </c:numRef>
          </c:xVal>
          <c:yVal>
            <c:numRef>
              <c:f>'Interpolacion Curva'!$D$22:$D$32</c:f>
              <c:numCache>
                <c:formatCode>_-* #,##0.00_-;\-* #,##0.00_-;_-* "-"??_-;_-@_-</c:formatCode>
                <c:ptCount val="11"/>
                <c:pt idx="0">
                  <c:v>2.3740000000000001</c:v>
                </c:pt>
                <c:pt idx="1">
                  <c:v>2.5720000000000001</c:v>
                </c:pt>
                <c:pt idx="2">
                  <c:v>2.1030000000000002</c:v>
                </c:pt>
                <c:pt idx="3">
                  <c:v>3.552</c:v>
                </c:pt>
                <c:pt idx="4">
                  <c:v>5.2649999999999997</c:v>
                </c:pt>
                <c:pt idx="5">
                  <c:v>5.3220000000000001</c:v>
                </c:pt>
                <c:pt idx="6">
                  <c:v>6.89</c:v>
                </c:pt>
                <c:pt idx="7">
                  <c:v>7.7460000000000004</c:v>
                </c:pt>
                <c:pt idx="8">
                  <c:v>8.6270000000000007</c:v>
                </c:pt>
                <c:pt idx="9">
                  <c:v>10.872</c:v>
                </c:pt>
                <c:pt idx="10">
                  <c:v>9.9420000000000002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7A-4DDA-849A-33F81E885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890088"/>
        <c:axId val="410891656"/>
      </c:scatterChart>
      <c:valAx>
        <c:axId val="41089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10891656"/>
        <c:crosses val="autoZero"/>
        <c:crossBetween val="midCat"/>
      </c:valAx>
      <c:valAx>
        <c:axId val="410891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10890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Curva CER (sin TC25)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4.3759249409579752E-2"/>
                  <c:y val="0.236476896806808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</c:trendlineLbl>
          </c:trendline>
          <c:xVal>
            <c:numRef>
              <c:f>'Interpolacion Curva'!$H$22:$H$32</c:f>
              <c:numCache>
                <c:formatCode>0.00</c:formatCode>
                <c:ptCount val="11"/>
                <c:pt idx="1">
                  <c:v>0.66900000000000004</c:v>
                </c:pt>
                <c:pt idx="2">
                  <c:v>1.18</c:v>
                </c:pt>
                <c:pt idx="3">
                  <c:v>1.573</c:v>
                </c:pt>
                <c:pt idx="4">
                  <c:v>1.6480000000000001</c:v>
                </c:pt>
                <c:pt idx="5">
                  <c:v>2.58</c:v>
                </c:pt>
                <c:pt idx="6">
                  <c:v>3.9670000000000001</c:v>
                </c:pt>
                <c:pt idx="7">
                  <c:v>4.4729999999999999</c:v>
                </c:pt>
                <c:pt idx="8">
                  <c:v>5.6559999999999997</c:v>
                </c:pt>
                <c:pt idx="9">
                  <c:v>9.4420000000000002</c:v>
                </c:pt>
                <c:pt idx="10">
                  <c:v>10.842000000000001</c:v>
                </c:pt>
              </c:numCache>
            </c:numRef>
          </c:xVal>
          <c:yVal>
            <c:numRef>
              <c:f>'Interpolacion Curva'!$I$22:$I$32</c:f>
              <c:numCache>
                <c:formatCode>_-* #,##0.00_-;\-* #,##0.00_-;_-* "-"??_-;_-@_-</c:formatCode>
                <c:ptCount val="11"/>
                <c:pt idx="1">
                  <c:v>2.3740000000000001</c:v>
                </c:pt>
                <c:pt idx="2">
                  <c:v>2.5720000000000001</c:v>
                </c:pt>
                <c:pt idx="3">
                  <c:v>2.1030000000000002</c:v>
                </c:pt>
                <c:pt idx="4">
                  <c:v>3.552</c:v>
                </c:pt>
                <c:pt idx="5">
                  <c:v>5.27</c:v>
                </c:pt>
                <c:pt idx="6">
                  <c:v>6.89</c:v>
                </c:pt>
                <c:pt idx="7">
                  <c:v>7.7460000000000004</c:v>
                </c:pt>
                <c:pt idx="8">
                  <c:v>8.6270000000000007</c:v>
                </c:pt>
                <c:pt idx="9">
                  <c:v>10.872</c:v>
                </c:pt>
                <c:pt idx="10">
                  <c:v>9.9420000000000002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A6-421C-A005-E478BE8A5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5056192"/>
        <c:axId val="415056584"/>
      </c:scatterChart>
      <c:valAx>
        <c:axId val="415056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15056584"/>
        <c:crosses val="autoZero"/>
        <c:crossBetween val="midCat"/>
      </c:valAx>
      <c:valAx>
        <c:axId val="415056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1505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Interpolacion!$C$22:$C$33</c:f>
              <c:numCache>
                <c:formatCode>0.00</c:formatCode>
                <c:ptCount val="12"/>
                <c:pt idx="0">
                  <c:v>0.66900000000000004</c:v>
                </c:pt>
                <c:pt idx="1">
                  <c:v>1.18</c:v>
                </c:pt>
                <c:pt idx="2">
                  <c:v>1.573</c:v>
                </c:pt>
                <c:pt idx="3">
                  <c:v>1.6480000000000001</c:v>
                </c:pt>
                <c:pt idx="4">
                  <c:v>2.5750000000000002</c:v>
                </c:pt>
                <c:pt idx="5">
                  <c:v>3.4290000000000003</c:v>
                </c:pt>
                <c:pt idx="6">
                  <c:v>3.5727792059753196</c:v>
                </c:pt>
                <c:pt idx="7">
                  <c:v>3.9670000000000001</c:v>
                </c:pt>
                <c:pt idx="8">
                  <c:v>4.4729999999999999</c:v>
                </c:pt>
                <c:pt idx="9">
                  <c:v>5.6559999999999997</c:v>
                </c:pt>
                <c:pt idx="10">
                  <c:v>9.4420000000000002</c:v>
                </c:pt>
                <c:pt idx="11">
                  <c:v>10.842000000000001</c:v>
                </c:pt>
              </c:numCache>
            </c:numRef>
          </c:xVal>
          <c:yVal>
            <c:numRef>
              <c:f>Interpolacion!$D$22:$D$33</c:f>
              <c:numCache>
                <c:formatCode>_-* #,##0.00_-;\-* #,##0.00_-;_-* "-"??_-;_-@_-</c:formatCode>
                <c:ptCount val="12"/>
                <c:pt idx="0">
                  <c:v>2.3740000000000001</c:v>
                </c:pt>
                <c:pt idx="1">
                  <c:v>2.5720000000000001</c:v>
                </c:pt>
                <c:pt idx="2">
                  <c:v>2.1030000000000002</c:v>
                </c:pt>
                <c:pt idx="3">
                  <c:v>3.552</c:v>
                </c:pt>
                <c:pt idx="4">
                  <c:v>5.2649999999999997</c:v>
                </c:pt>
                <c:pt idx="5">
                  <c:v>5.3220000000000001</c:v>
                </c:pt>
                <c:pt idx="6" formatCode="0.00">
                  <c:v>5.7410442285674739</c:v>
                </c:pt>
                <c:pt idx="7">
                  <c:v>6.89</c:v>
                </c:pt>
                <c:pt idx="8">
                  <c:v>7.7460000000000004</c:v>
                </c:pt>
                <c:pt idx="9">
                  <c:v>8.6270000000000007</c:v>
                </c:pt>
                <c:pt idx="10">
                  <c:v>10.872</c:v>
                </c:pt>
                <c:pt idx="11">
                  <c:v>9.9420000000000002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E2-4DE2-9569-FAA72A8C4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849856"/>
        <c:axId val="410850248"/>
      </c:scatterChart>
      <c:valAx>
        <c:axId val="410849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10850248"/>
        <c:crosses val="autoZero"/>
        <c:crossBetween val="midCat"/>
      </c:valAx>
      <c:valAx>
        <c:axId val="41085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10849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</xdr:colOff>
      <xdr:row>33</xdr:row>
      <xdr:rowOff>147636</xdr:rowOff>
    </xdr:from>
    <xdr:to>
      <xdr:col>9</xdr:col>
      <xdr:colOff>95250</xdr:colOff>
      <xdr:row>54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600075</xdr:colOff>
      <xdr:row>34</xdr:row>
      <xdr:rowOff>85725</xdr:rowOff>
    </xdr:from>
    <xdr:to>
      <xdr:col>17</xdr:col>
      <xdr:colOff>519113</xdr:colOff>
      <xdr:row>55</xdr:row>
      <xdr:rowOff>90488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633412</xdr:colOff>
      <xdr:row>34</xdr:row>
      <xdr:rowOff>80962</xdr:rowOff>
    </xdr:from>
    <xdr:to>
      <xdr:col>9</xdr:col>
      <xdr:colOff>80962</xdr:colOff>
      <xdr:row>52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22" workbookViewId="0">
      <selection activeCell="D58" sqref="D58"/>
    </sheetView>
  </sheetViews>
  <sheetFormatPr baseColWidth="10" defaultRowHeight="12" x14ac:dyDescent="0.2"/>
  <cols>
    <col min="1" max="1" width="1.85546875" style="104" customWidth="1"/>
    <col min="2" max="2" width="10.5703125" style="104" customWidth="1"/>
    <col min="3" max="3" width="9" style="104" customWidth="1"/>
    <col min="4" max="8" width="9.28515625" style="104" customWidth="1"/>
    <col min="9" max="10" width="10.85546875" style="104" customWidth="1"/>
    <col min="11" max="16384" width="11.42578125" style="104"/>
  </cols>
  <sheetData>
    <row r="1" spans="1:11" ht="5.25" customHeight="1" x14ac:dyDescent="0.2"/>
    <row r="2" spans="1:11" x14ac:dyDescent="0.2">
      <c r="A2" s="142"/>
      <c r="B2" s="153" t="s">
        <v>75</v>
      </c>
      <c r="C2" s="153"/>
      <c r="D2" s="153"/>
      <c r="E2" s="153"/>
      <c r="F2" s="153"/>
      <c r="G2" s="153"/>
      <c r="H2" s="153"/>
      <c r="I2" s="117"/>
      <c r="J2" s="117"/>
      <c r="K2" s="146"/>
    </row>
    <row r="3" spans="1:11" x14ac:dyDescent="0.2">
      <c r="B3" s="128" t="s">
        <v>46</v>
      </c>
      <c r="C3" s="129" t="s">
        <v>81</v>
      </c>
      <c r="D3" s="130" t="s">
        <v>47</v>
      </c>
      <c r="E3" s="130" t="s">
        <v>48</v>
      </c>
      <c r="F3" s="130" t="s">
        <v>49</v>
      </c>
      <c r="G3" s="130" t="s">
        <v>50</v>
      </c>
      <c r="H3" s="130" t="s">
        <v>51</v>
      </c>
      <c r="I3" s="130" t="s">
        <v>52</v>
      </c>
      <c r="J3" s="128" t="s">
        <v>53</v>
      </c>
      <c r="K3" s="146"/>
    </row>
    <row r="4" spans="1:11" x14ac:dyDescent="0.2">
      <c r="B4" s="131"/>
      <c r="C4" s="154">
        <v>44385</v>
      </c>
      <c r="D4" s="132" t="s">
        <v>55</v>
      </c>
      <c r="E4" s="132" t="s">
        <v>55</v>
      </c>
      <c r="F4" s="133" t="s">
        <v>56</v>
      </c>
      <c r="G4" s="133" t="s">
        <v>57</v>
      </c>
      <c r="H4" s="133" t="s">
        <v>17</v>
      </c>
      <c r="I4" s="133" t="s">
        <v>58</v>
      </c>
      <c r="J4" s="128" t="s">
        <v>59</v>
      </c>
      <c r="K4" s="146"/>
    </row>
    <row r="5" spans="1:11" hidden="1" x14ac:dyDescent="0.2">
      <c r="B5" s="113" t="s">
        <v>54</v>
      </c>
      <c r="C5" s="114">
        <v>0.06</v>
      </c>
      <c r="D5" s="108">
        <v>528.20000000000005</v>
      </c>
      <c r="E5" s="108">
        <v>6.1930000000000005</v>
      </c>
      <c r="F5" s="108">
        <v>527.745</v>
      </c>
      <c r="G5" s="108">
        <v>2.4980000000000002</v>
      </c>
      <c r="H5" s="108">
        <v>2.5000000000000001E-2</v>
      </c>
      <c r="K5" s="146"/>
    </row>
    <row r="6" spans="1:11" hidden="1" x14ac:dyDescent="0.2">
      <c r="B6" s="113" t="s">
        <v>60</v>
      </c>
      <c r="C6" s="114">
        <v>-0.83</v>
      </c>
      <c r="D6" s="109">
        <v>167.70000000000002</v>
      </c>
      <c r="E6" s="109">
        <v>0.73199999999999998</v>
      </c>
      <c r="F6" s="109">
        <v>167.51</v>
      </c>
      <c r="G6" s="109">
        <v>0.999</v>
      </c>
      <c r="H6" s="109">
        <v>6.3E-2</v>
      </c>
      <c r="K6" s="146"/>
    </row>
    <row r="7" spans="1:11" x14ac:dyDescent="0.2">
      <c r="B7" s="113" t="s">
        <v>61</v>
      </c>
      <c r="C7" s="114">
        <v>2.3740000000000001</v>
      </c>
      <c r="D7" s="109">
        <v>159.25</v>
      </c>
      <c r="E7" s="109">
        <v>0.61299999999999999</v>
      </c>
      <c r="F7" s="109">
        <v>160.49299999999999</v>
      </c>
      <c r="G7" s="109">
        <v>1.2090000000000001</v>
      </c>
      <c r="H7" s="109">
        <v>0.66900000000000004</v>
      </c>
      <c r="I7" s="145">
        <v>181921934</v>
      </c>
      <c r="J7" s="139">
        <v>455623172</v>
      </c>
      <c r="K7" s="146"/>
    </row>
    <row r="8" spans="1:11" x14ac:dyDescent="0.2">
      <c r="B8" s="113" t="s">
        <v>62</v>
      </c>
      <c r="C8" s="114">
        <v>2.5720000000000001</v>
      </c>
      <c r="D8" s="109">
        <v>150.30000000000001</v>
      </c>
      <c r="E8" s="109">
        <v>0.62</v>
      </c>
      <c r="F8" s="109">
        <v>152.52700000000002</v>
      </c>
      <c r="G8" s="109">
        <v>1.319</v>
      </c>
      <c r="H8" s="109">
        <v>1.18</v>
      </c>
      <c r="I8" s="145">
        <v>15221836</v>
      </c>
      <c r="J8" s="139">
        <v>128500000</v>
      </c>
      <c r="K8" s="146"/>
    </row>
    <row r="9" spans="1:11" x14ac:dyDescent="0.2">
      <c r="B9" s="113" t="s">
        <v>63</v>
      </c>
      <c r="C9" s="114">
        <v>3.552</v>
      </c>
      <c r="D9" s="109">
        <v>154.4</v>
      </c>
      <c r="E9" s="109">
        <v>0.66900000000000004</v>
      </c>
      <c r="F9" s="109">
        <v>159.923</v>
      </c>
      <c r="G9" s="109">
        <v>1.45</v>
      </c>
      <c r="H9" s="109">
        <v>1.6480000000000001</v>
      </c>
      <c r="I9" s="145">
        <v>98881236</v>
      </c>
      <c r="J9" s="139">
        <v>450000000</v>
      </c>
      <c r="K9" s="146"/>
    </row>
    <row r="10" spans="1:11" x14ac:dyDescent="0.2">
      <c r="B10" s="111" t="s">
        <v>64</v>
      </c>
      <c r="C10" s="138">
        <v>5.2649999999999997</v>
      </c>
      <c r="D10" s="112">
        <v>145.30000000000001</v>
      </c>
      <c r="E10" s="112">
        <v>0.71699999999999997</v>
      </c>
      <c r="F10" s="112">
        <v>159.971</v>
      </c>
      <c r="G10" s="112">
        <v>1.6520000000000001</v>
      </c>
      <c r="H10" s="112">
        <v>2.5750000000000002</v>
      </c>
      <c r="I10" s="140">
        <v>41060085</v>
      </c>
      <c r="J10" s="137">
        <v>275000000</v>
      </c>
      <c r="K10" s="146"/>
    </row>
    <row r="11" spans="1:11" x14ac:dyDescent="0.2">
      <c r="B11" s="113" t="s">
        <v>65</v>
      </c>
      <c r="C11" s="114">
        <v>6.89</v>
      </c>
      <c r="D11" s="109">
        <v>117.80000000000001</v>
      </c>
      <c r="E11" s="109">
        <v>0.50600000000000001</v>
      </c>
      <c r="F11" s="109">
        <v>142.864</v>
      </c>
      <c r="G11" s="109">
        <v>2.427</v>
      </c>
      <c r="H11" s="109">
        <v>3.9670000000000001</v>
      </c>
      <c r="I11" s="145">
        <v>30072552</v>
      </c>
      <c r="J11" s="139">
        <v>30000000</v>
      </c>
      <c r="K11" s="146"/>
    </row>
    <row r="12" spans="1:11" x14ac:dyDescent="0.2">
      <c r="B12" s="113" t="s">
        <v>66</v>
      </c>
      <c r="C12" s="114">
        <v>7.7460000000000004</v>
      </c>
      <c r="D12" s="109">
        <v>111.7</v>
      </c>
      <c r="E12" s="109">
        <v>0.56900000000000006</v>
      </c>
      <c r="F12" s="109">
        <v>142.92699999999999</v>
      </c>
      <c r="G12" s="109">
        <v>2.8820000000000001</v>
      </c>
      <c r="H12" s="109">
        <v>4.4729999999999999</v>
      </c>
      <c r="I12" s="145">
        <v>3748308</v>
      </c>
      <c r="J12" s="139">
        <v>6594421</v>
      </c>
      <c r="K12" s="146"/>
    </row>
    <row r="13" spans="1:11" x14ac:dyDescent="0.2">
      <c r="B13" s="113" t="s">
        <v>67</v>
      </c>
      <c r="C13" s="114">
        <v>2.1030000000000002</v>
      </c>
      <c r="D13" s="109">
        <v>384</v>
      </c>
      <c r="E13" s="109">
        <v>5.1859999999999999</v>
      </c>
      <c r="F13" s="109">
        <v>372.71</v>
      </c>
      <c r="G13" s="109">
        <v>3.8810000000000002</v>
      </c>
      <c r="H13" s="109">
        <v>1.573</v>
      </c>
      <c r="I13" s="145">
        <v>30929</v>
      </c>
      <c r="J13" s="139">
        <v>26835616</v>
      </c>
      <c r="K13" s="146"/>
    </row>
    <row r="14" spans="1:11" x14ac:dyDescent="0.2">
      <c r="B14" s="111" t="s">
        <v>68</v>
      </c>
      <c r="C14" s="138">
        <v>5.3220000000000001</v>
      </c>
      <c r="D14" s="112">
        <v>342</v>
      </c>
      <c r="E14" s="112">
        <v>2.9910000000000001</v>
      </c>
      <c r="F14" s="112">
        <v>357.13600000000002</v>
      </c>
      <c r="G14" s="112">
        <v>4.1790000000000003</v>
      </c>
      <c r="H14" s="112">
        <v>3.4290000000000003</v>
      </c>
      <c r="I14" s="140">
        <v>4364</v>
      </c>
      <c r="J14" s="137">
        <v>104250000</v>
      </c>
      <c r="K14" s="146"/>
    </row>
    <row r="15" spans="1:11" x14ac:dyDescent="0.2">
      <c r="B15" s="113" t="s">
        <v>69</v>
      </c>
      <c r="C15" s="114">
        <v>8.6270000000000007</v>
      </c>
      <c r="D15" s="109">
        <v>2409</v>
      </c>
      <c r="E15" s="109">
        <v>5.8970000000000002</v>
      </c>
      <c r="F15" s="109">
        <v>2806.819</v>
      </c>
      <c r="G15" s="109">
        <v>6.7949999999999999</v>
      </c>
      <c r="H15" s="109">
        <v>5.6559999999999997</v>
      </c>
      <c r="I15" s="145">
        <v>1692347</v>
      </c>
      <c r="J15" s="139">
        <v>6900000</v>
      </c>
      <c r="K15" s="146"/>
    </row>
    <row r="16" spans="1:11" x14ac:dyDescent="0.2">
      <c r="B16" s="113" t="s">
        <v>70</v>
      </c>
      <c r="C16" s="114">
        <v>10.872</v>
      </c>
      <c r="D16" s="109">
        <v>909</v>
      </c>
      <c r="E16" s="109">
        <v>11.169</v>
      </c>
      <c r="F16" s="109">
        <v>2216.73</v>
      </c>
      <c r="G16" s="109">
        <v>4.3479999999999999</v>
      </c>
      <c r="H16" s="109">
        <v>9.4420000000000002</v>
      </c>
      <c r="I16" s="145">
        <v>352478</v>
      </c>
      <c r="J16" s="139">
        <v>5000000</v>
      </c>
      <c r="K16" s="146"/>
    </row>
    <row r="17" spans="2:13" s="142" customFormat="1" x14ac:dyDescent="0.2">
      <c r="B17" s="115" t="s">
        <v>71</v>
      </c>
      <c r="C17" s="116">
        <v>9.9420000000000002</v>
      </c>
      <c r="D17" s="143">
        <v>1370</v>
      </c>
      <c r="E17" s="143">
        <v>3.661</v>
      </c>
      <c r="F17" s="143">
        <v>3066.2860000000001</v>
      </c>
      <c r="G17" s="143">
        <v>7.4190000000000005</v>
      </c>
      <c r="H17" s="143">
        <v>10.842000000000001</v>
      </c>
      <c r="I17" s="144">
        <v>69566</v>
      </c>
      <c r="J17" s="141">
        <v>985000</v>
      </c>
      <c r="K17" s="147" t="s">
        <v>72</v>
      </c>
    </row>
    <row r="18" spans="2:13" x14ac:dyDescent="0.2">
      <c r="B18" s="107"/>
      <c r="C18" s="105"/>
      <c r="D18" s="105"/>
      <c r="E18" s="105"/>
      <c r="F18" s="110"/>
      <c r="G18" s="110"/>
      <c r="H18" s="110"/>
      <c r="I18" s="110"/>
      <c r="J18" s="110"/>
      <c r="M18" s="146"/>
    </row>
    <row r="19" spans="2:13" s="142" customFormat="1" x14ac:dyDescent="0.2">
      <c r="B19" s="135" t="s">
        <v>78</v>
      </c>
      <c r="C19" s="136"/>
      <c r="D19" s="136"/>
      <c r="E19" s="136"/>
      <c r="F19" s="136"/>
      <c r="G19" s="136"/>
      <c r="H19" s="136"/>
      <c r="I19" s="136"/>
      <c r="J19" s="134"/>
    </row>
    <row r="20" spans="2:13" ht="5.25" customHeight="1" x14ac:dyDescent="0.2">
      <c r="B20" s="107"/>
      <c r="C20" s="105"/>
      <c r="D20" s="105"/>
      <c r="E20" s="105"/>
      <c r="F20" s="110"/>
      <c r="G20" s="110"/>
      <c r="H20" s="110"/>
      <c r="I20" s="110"/>
      <c r="J20" s="110"/>
    </row>
    <row r="21" spans="2:13" x14ac:dyDescent="0.2">
      <c r="B21" s="118" t="s">
        <v>77</v>
      </c>
      <c r="C21" s="118" t="s">
        <v>74</v>
      </c>
      <c r="D21" s="118" t="s">
        <v>73</v>
      </c>
      <c r="G21" s="118" t="s">
        <v>77</v>
      </c>
      <c r="H21" s="118" t="s">
        <v>74</v>
      </c>
      <c r="I21" s="118" t="s">
        <v>73</v>
      </c>
    </row>
    <row r="22" spans="2:13" x14ac:dyDescent="0.2">
      <c r="B22" s="119" t="s">
        <v>61</v>
      </c>
      <c r="C22" s="120">
        <v>0.66900000000000004</v>
      </c>
      <c r="D22" s="121">
        <v>2.3740000000000001</v>
      </c>
      <c r="G22" s="119"/>
      <c r="H22" s="120"/>
      <c r="I22" s="121"/>
    </row>
    <row r="23" spans="2:13" x14ac:dyDescent="0.2">
      <c r="B23" s="119" t="s">
        <v>62</v>
      </c>
      <c r="C23" s="120">
        <v>1.18</v>
      </c>
      <c r="D23" s="121">
        <v>2.5720000000000001</v>
      </c>
      <c r="G23" s="119" t="s">
        <v>61</v>
      </c>
      <c r="H23" s="120">
        <v>0.66900000000000004</v>
      </c>
      <c r="I23" s="121">
        <v>2.3740000000000001</v>
      </c>
    </row>
    <row r="24" spans="2:13" x14ac:dyDescent="0.2">
      <c r="B24" s="119" t="s">
        <v>67</v>
      </c>
      <c r="C24" s="120">
        <v>1.573</v>
      </c>
      <c r="D24" s="121">
        <v>2.1030000000000002</v>
      </c>
      <c r="G24" s="119" t="s">
        <v>62</v>
      </c>
      <c r="H24" s="120">
        <v>1.18</v>
      </c>
      <c r="I24" s="121">
        <v>2.5720000000000001</v>
      </c>
    </row>
    <row r="25" spans="2:13" x14ac:dyDescent="0.2">
      <c r="B25" s="119" t="s">
        <v>63</v>
      </c>
      <c r="C25" s="120">
        <v>1.6480000000000001</v>
      </c>
      <c r="D25" s="121">
        <v>3.552</v>
      </c>
      <c r="G25" s="119" t="s">
        <v>67</v>
      </c>
      <c r="H25" s="120">
        <v>1.573</v>
      </c>
      <c r="I25" s="121">
        <v>2.1030000000000002</v>
      </c>
    </row>
    <row r="26" spans="2:13" x14ac:dyDescent="0.2">
      <c r="B26" s="119" t="s">
        <v>64</v>
      </c>
      <c r="C26" s="120">
        <v>2.5750000000000002</v>
      </c>
      <c r="D26" s="121">
        <v>5.2649999999999997</v>
      </c>
      <c r="G26" s="119" t="s">
        <v>63</v>
      </c>
      <c r="H26" s="120">
        <v>1.6480000000000001</v>
      </c>
      <c r="I26" s="121">
        <v>3.552</v>
      </c>
    </row>
    <row r="27" spans="2:13" x14ac:dyDescent="0.2">
      <c r="B27" s="119" t="s">
        <v>68</v>
      </c>
      <c r="C27" s="120">
        <v>3.4290000000000003</v>
      </c>
      <c r="D27" s="121">
        <v>5.3220000000000001</v>
      </c>
      <c r="G27" s="119" t="s">
        <v>64</v>
      </c>
      <c r="H27" s="120">
        <v>2.58</v>
      </c>
      <c r="I27" s="121">
        <v>5.27</v>
      </c>
      <c r="J27" s="104" t="s">
        <v>79</v>
      </c>
    </row>
    <row r="28" spans="2:13" x14ac:dyDescent="0.2">
      <c r="B28" s="119" t="s">
        <v>65</v>
      </c>
      <c r="C28" s="120">
        <v>3.9670000000000001</v>
      </c>
      <c r="D28" s="121">
        <v>6.89</v>
      </c>
      <c r="G28" s="119" t="s">
        <v>65</v>
      </c>
      <c r="H28" s="120">
        <v>3.9670000000000001</v>
      </c>
      <c r="I28" s="121">
        <v>6.89</v>
      </c>
    </row>
    <row r="29" spans="2:13" x14ac:dyDescent="0.2">
      <c r="B29" s="119" t="s">
        <v>66</v>
      </c>
      <c r="C29" s="120">
        <v>4.4729999999999999</v>
      </c>
      <c r="D29" s="121">
        <v>7.7460000000000004</v>
      </c>
      <c r="G29" s="119" t="s">
        <v>66</v>
      </c>
      <c r="H29" s="120">
        <v>4.4729999999999999</v>
      </c>
      <c r="I29" s="121">
        <v>7.7460000000000004</v>
      </c>
    </row>
    <row r="30" spans="2:13" x14ac:dyDescent="0.2">
      <c r="B30" s="119" t="s">
        <v>69</v>
      </c>
      <c r="C30" s="120">
        <v>5.6559999999999997</v>
      </c>
      <c r="D30" s="121">
        <v>8.6270000000000007</v>
      </c>
      <c r="G30" s="119" t="s">
        <v>69</v>
      </c>
      <c r="H30" s="120">
        <v>5.6559999999999997</v>
      </c>
      <c r="I30" s="121">
        <v>8.6270000000000007</v>
      </c>
    </row>
    <row r="31" spans="2:13" x14ac:dyDescent="0.2">
      <c r="B31" s="119" t="s">
        <v>70</v>
      </c>
      <c r="C31" s="120">
        <v>9.4420000000000002</v>
      </c>
      <c r="D31" s="121">
        <v>10.872</v>
      </c>
      <c r="G31" s="119" t="s">
        <v>70</v>
      </c>
      <c r="H31" s="120">
        <v>9.4420000000000002</v>
      </c>
      <c r="I31" s="121">
        <v>10.872</v>
      </c>
    </row>
    <row r="32" spans="2:13" s="142" customFormat="1" x14ac:dyDescent="0.2">
      <c r="B32" s="125" t="s">
        <v>71</v>
      </c>
      <c r="C32" s="126">
        <v>10.842000000000001</v>
      </c>
      <c r="D32" s="127">
        <v>9.9420000000000002</v>
      </c>
      <c r="G32" s="125" t="s">
        <v>71</v>
      </c>
      <c r="H32" s="126">
        <v>10.842000000000001</v>
      </c>
      <c r="I32" s="127">
        <v>9.9420000000000002</v>
      </c>
    </row>
    <row r="57" spans="3:14" x14ac:dyDescent="0.2">
      <c r="C57" s="159"/>
      <c r="D57" s="160" t="s">
        <v>74</v>
      </c>
      <c r="E57" s="160" t="s">
        <v>37</v>
      </c>
    </row>
    <row r="58" spans="3:14" x14ac:dyDescent="0.2">
      <c r="C58" s="161" t="s">
        <v>82</v>
      </c>
      <c r="D58" s="162" t="e">
        <f>GEMSA!#REF!</f>
        <v>#REF!</v>
      </c>
      <c r="E58" s="163" t="e">
        <f>3.4344*LN(D58)+2.1455</f>
        <v>#REF!</v>
      </c>
      <c r="L58" s="159"/>
      <c r="M58" s="160" t="s">
        <v>74</v>
      </c>
      <c r="N58" s="160" t="s">
        <v>37</v>
      </c>
    </row>
    <row r="59" spans="3:14" x14ac:dyDescent="0.2">
      <c r="L59" s="161" t="s">
        <v>82</v>
      </c>
      <c r="M59" s="162" t="e">
        <f>GEMSA!#REF!</f>
        <v>#REF!</v>
      </c>
      <c r="N59" s="163" t="e">
        <f>3.4543*LN(M59)+2.2291</f>
        <v>#REF!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A16" workbookViewId="0">
      <selection activeCell="C28" sqref="C28"/>
    </sheetView>
  </sheetViews>
  <sheetFormatPr baseColWidth="10" defaultRowHeight="12" x14ac:dyDescent="0.2"/>
  <cols>
    <col min="1" max="1" width="1.85546875" style="104" customWidth="1"/>
    <col min="2" max="2" width="10.5703125" style="104" customWidth="1"/>
    <col min="3" max="3" width="9" style="104" customWidth="1"/>
    <col min="4" max="8" width="9.28515625" style="104" customWidth="1"/>
    <col min="9" max="10" width="10.85546875" style="104" customWidth="1"/>
    <col min="11" max="16384" width="11.42578125" style="104"/>
  </cols>
  <sheetData>
    <row r="1" spans="1:11" ht="5.25" customHeight="1" x14ac:dyDescent="0.2"/>
    <row r="2" spans="1:11" x14ac:dyDescent="0.2">
      <c r="A2" s="106"/>
      <c r="B2" s="153" t="s">
        <v>75</v>
      </c>
      <c r="C2" s="153"/>
      <c r="D2" s="153"/>
      <c r="E2" s="153"/>
      <c r="F2" s="153"/>
      <c r="G2" s="153"/>
      <c r="H2" s="153"/>
      <c r="I2" s="117"/>
      <c r="J2" s="117"/>
      <c r="K2" s="146"/>
    </row>
    <row r="3" spans="1:11" x14ac:dyDescent="0.2">
      <c r="B3" s="128" t="s">
        <v>46</v>
      </c>
      <c r="C3" s="129" t="s">
        <v>81</v>
      </c>
      <c r="D3" s="130" t="s">
        <v>47</v>
      </c>
      <c r="E3" s="130" t="s">
        <v>48</v>
      </c>
      <c r="F3" s="130" t="s">
        <v>49</v>
      </c>
      <c r="G3" s="130" t="s">
        <v>50</v>
      </c>
      <c r="H3" s="130" t="s">
        <v>51</v>
      </c>
      <c r="I3" s="130" t="s">
        <v>52</v>
      </c>
      <c r="J3" s="128" t="s">
        <v>53</v>
      </c>
      <c r="K3" s="146"/>
    </row>
    <row r="4" spans="1:11" x14ac:dyDescent="0.2">
      <c r="B4" s="131"/>
      <c r="C4" s="154">
        <v>44385</v>
      </c>
      <c r="D4" s="132" t="s">
        <v>55</v>
      </c>
      <c r="E4" s="132" t="s">
        <v>55</v>
      </c>
      <c r="F4" s="133" t="s">
        <v>56</v>
      </c>
      <c r="G4" s="133" t="s">
        <v>57</v>
      </c>
      <c r="H4" s="133" t="s">
        <v>17</v>
      </c>
      <c r="I4" s="133" t="s">
        <v>58</v>
      </c>
      <c r="J4" s="128" t="s">
        <v>59</v>
      </c>
      <c r="K4" s="146"/>
    </row>
    <row r="5" spans="1:11" hidden="1" x14ac:dyDescent="0.2">
      <c r="B5" s="113" t="s">
        <v>54</v>
      </c>
      <c r="C5" s="114">
        <v>0.06</v>
      </c>
      <c r="D5" s="108">
        <v>528.20000000000005</v>
      </c>
      <c r="E5" s="108">
        <v>6.1930000000000005</v>
      </c>
      <c r="F5" s="108">
        <v>527.745</v>
      </c>
      <c r="G5" s="108">
        <v>2.4980000000000002</v>
      </c>
      <c r="H5" s="108">
        <v>2.5000000000000001E-2</v>
      </c>
      <c r="K5" s="146"/>
    </row>
    <row r="6" spans="1:11" hidden="1" x14ac:dyDescent="0.2">
      <c r="B6" s="113" t="s">
        <v>60</v>
      </c>
      <c r="C6" s="114">
        <v>-0.83</v>
      </c>
      <c r="D6" s="109">
        <v>167.70000000000002</v>
      </c>
      <c r="E6" s="109">
        <v>0.73199999999999998</v>
      </c>
      <c r="F6" s="109">
        <v>167.51</v>
      </c>
      <c r="G6" s="109">
        <v>0.999</v>
      </c>
      <c r="H6" s="109">
        <v>6.3E-2</v>
      </c>
      <c r="K6" s="146"/>
    </row>
    <row r="7" spans="1:11" x14ac:dyDescent="0.2">
      <c r="B7" s="113" t="s">
        <v>61</v>
      </c>
      <c r="C7" s="114">
        <v>2.3740000000000001</v>
      </c>
      <c r="D7" s="109">
        <v>159.25</v>
      </c>
      <c r="E7" s="109">
        <v>0.61299999999999999</v>
      </c>
      <c r="F7" s="109">
        <v>160.49299999999999</v>
      </c>
      <c r="G7" s="109">
        <v>1.2090000000000001</v>
      </c>
      <c r="H7" s="109">
        <v>0.66900000000000004</v>
      </c>
      <c r="I7" s="145">
        <v>181921934</v>
      </c>
      <c r="J7" s="139">
        <v>455623172</v>
      </c>
      <c r="K7" s="146"/>
    </row>
    <row r="8" spans="1:11" x14ac:dyDescent="0.2">
      <c r="B8" s="113" t="s">
        <v>62</v>
      </c>
      <c r="C8" s="114">
        <v>2.5720000000000001</v>
      </c>
      <c r="D8" s="109">
        <v>150.30000000000001</v>
      </c>
      <c r="E8" s="109">
        <v>0.62</v>
      </c>
      <c r="F8" s="109">
        <v>152.52700000000002</v>
      </c>
      <c r="G8" s="109">
        <v>1.319</v>
      </c>
      <c r="H8" s="109">
        <v>1.18</v>
      </c>
      <c r="I8" s="145">
        <v>15221836</v>
      </c>
      <c r="J8" s="139">
        <v>128500000</v>
      </c>
      <c r="K8" s="146"/>
    </row>
    <row r="9" spans="1:11" x14ac:dyDescent="0.2">
      <c r="B9" s="113" t="s">
        <v>63</v>
      </c>
      <c r="C9" s="114">
        <v>3.552</v>
      </c>
      <c r="D9" s="109">
        <v>154.4</v>
      </c>
      <c r="E9" s="109">
        <v>0.66900000000000004</v>
      </c>
      <c r="F9" s="109">
        <v>159.923</v>
      </c>
      <c r="G9" s="109">
        <v>1.45</v>
      </c>
      <c r="H9" s="109">
        <v>1.6480000000000001</v>
      </c>
      <c r="I9" s="145">
        <v>98881236</v>
      </c>
      <c r="J9" s="139">
        <v>450000000</v>
      </c>
      <c r="K9" s="146"/>
    </row>
    <row r="10" spans="1:11" x14ac:dyDescent="0.2">
      <c r="B10" s="111" t="s">
        <v>64</v>
      </c>
      <c r="C10" s="138">
        <v>5.2649999999999997</v>
      </c>
      <c r="D10" s="112">
        <v>145.30000000000001</v>
      </c>
      <c r="E10" s="112">
        <v>0.71699999999999997</v>
      </c>
      <c r="F10" s="112">
        <v>159.971</v>
      </c>
      <c r="G10" s="112">
        <v>1.6520000000000001</v>
      </c>
      <c r="H10" s="112">
        <v>2.5750000000000002</v>
      </c>
      <c r="I10" s="140">
        <v>41060085</v>
      </c>
      <c r="J10" s="137">
        <v>275000000</v>
      </c>
      <c r="K10" s="146"/>
    </row>
    <row r="11" spans="1:11" x14ac:dyDescent="0.2">
      <c r="B11" s="113" t="s">
        <v>65</v>
      </c>
      <c r="C11" s="114">
        <v>6.89</v>
      </c>
      <c r="D11" s="109">
        <v>117.80000000000001</v>
      </c>
      <c r="E11" s="109">
        <v>0.50600000000000001</v>
      </c>
      <c r="F11" s="109">
        <v>142.864</v>
      </c>
      <c r="G11" s="109">
        <v>2.427</v>
      </c>
      <c r="H11" s="109">
        <v>3.9670000000000001</v>
      </c>
      <c r="I11" s="145">
        <v>30072552</v>
      </c>
      <c r="J11" s="139">
        <v>30000000</v>
      </c>
      <c r="K11" s="146"/>
    </row>
    <row r="12" spans="1:11" x14ac:dyDescent="0.2">
      <c r="B12" s="113" t="s">
        <v>66</v>
      </c>
      <c r="C12" s="114">
        <v>7.7460000000000004</v>
      </c>
      <c r="D12" s="109">
        <v>111.7</v>
      </c>
      <c r="E12" s="109">
        <v>0.56900000000000006</v>
      </c>
      <c r="F12" s="109">
        <v>142.92699999999999</v>
      </c>
      <c r="G12" s="109">
        <v>2.8820000000000001</v>
      </c>
      <c r="H12" s="109">
        <v>4.4729999999999999</v>
      </c>
      <c r="I12" s="145">
        <v>3748308</v>
      </c>
      <c r="J12" s="139">
        <v>6594421</v>
      </c>
      <c r="K12" s="146"/>
    </row>
    <row r="13" spans="1:11" x14ac:dyDescent="0.2">
      <c r="B13" s="113" t="s">
        <v>67</v>
      </c>
      <c r="C13" s="114">
        <v>2.1030000000000002</v>
      </c>
      <c r="D13" s="109">
        <v>384</v>
      </c>
      <c r="E13" s="109">
        <v>5.1859999999999999</v>
      </c>
      <c r="F13" s="109">
        <v>372.71</v>
      </c>
      <c r="G13" s="109">
        <v>3.8810000000000002</v>
      </c>
      <c r="H13" s="109">
        <v>1.573</v>
      </c>
      <c r="I13" s="145">
        <v>30929</v>
      </c>
      <c r="J13" s="139">
        <v>26835616</v>
      </c>
      <c r="K13" s="146"/>
    </row>
    <row r="14" spans="1:11" x14ac:dyDescent="0.2">
      <c r="B14" s="111" t="s">
        <v>68</v>
      </c>
      <c r="C14" s="138">
        <v>5.3220000000000001</v>
      </c>
      <c r="D14" s="112">
        <v>342</v>
      </c>
      <c r="E14" s="112">
        <v>2.9910000000000001</v>
      </c>
      <c r="F14" s="112">
        <v>357.13600000000002</v>
      </c>
      <c r="G14" s="112">
        <v>4.1790000000000003</v>
      </c>
      <c r="H14" s="112">
        <v>3.4290000000000003</v>
      </c>
      <c r="I14" s="140">
        <v>4364</v>
      </c>
      <c r="J14" s="137">
        <v>104250000</v>
      </c>
      <c r="K14" s="146"/>
    </row>
    <row r="15" spans="1:11" x14ac:dyDescent="0.2">
      <c r="B15" s="113" t="s">
        <v>69</v>
      </c>
      <c r="C15" s="114">
        <v>8.6270000000000007</v>
      </c>
      <c r="D15" s="109">
        <v>2409</v>
      </c>
      <c r="E15" s="109">
        <v>5.8970000000000002</v>
      </c>
      <c r="F15" s="109">
        <v>2806.819</v>
      </c>
      <c r="G15" s="109">
        <v>6.7949999999999999</v>
      </c>
      <c r="H15" s="109">
        <v>5.6559999999999997</v>
      </c>
      <c r="I15" s="145">
        <v>1692347</v>
      </c>
      <c r="J15" s="139">
        <v>6900000</v>
      </c>
      <c r="K15" s="146"/>
    </row>
    <row r="16" spans="1:11" x14ac:dyDescent="0.2">
      <c r="B16" s="113" t="s">
        <v>70</v>
      </c>
      <c r="C16" s="114">
        <v>10.872</v>
      </c>
      <c r="D16" s="109">
        <v>909</v>
      </c>
      <c r="E16" s="109">
        <v>11.169</v>
      </c>
      <c r="F16" s="109">
        <v>2216.73</v>
      </c>
      <c r="G16" s="109">
        <v>4.3479999999999999</v>
      </c>
      <c r="H16" s="109">
        <v>9.4420000000000002</v>
      </c>
      <c r="I16" s="145">
        <v>352478</v>
      </c>
      <c r="J16" s="139">
        <v>5000000</v>
      </c>
      <c r="K16" s="146"/>
    </row>
    <row r="17" spans="2:13" s="142" customFormat="1" x14ac:dyDescent="0.2">
      <c r="B17" s="115" t="s">
        <v>71</v>
      </c>
      <c r="C17" s="116">
        <v>9.9420000000000002</v>
      </c>
      <c r="D17" s="143">
        <v>1370</v>
      </c>
      <c r="E17" s="143">
        <v>3.661</v>
      </c>
      <c r="F17" s="143">
        <v>3066.2860000000001</v>
      </c>
      <c r="G17" s="143">
        <v>7.4190000000000005</v>
      </c>
      <c r="H17" s="143">
        <v>10.842000000000001</v>
      </c>
      <c r="I17" s="144">
        <v>69566</v>
      </c>
      <c r="J17" s="141">
        <v>985000</v>
      </c>
      <c r="K17" s="147" t="s">
        <v>72</v>
      </c>
    </row>
    <row r="18" spans="2:13" x14ac:dyDescent="0.2">
      <c r="B18" s="107"/>
      <c r="C18" s="105"/>
      <c r="D18" s="105"/>
      <c r="E18" s="105"/>
      <c r="F18" s="110"/>
      <c r="G18" s="110"/>
      <c r="H18" s="110"/>
      <c r="I18" s="110"/>
      <c r="J18" s="110"/>
      <c r="M18" s="146"/>
    </row>
    <row r="19" spans="2:13" s="142" customFormat="1" x14ac:dyDescent="0.2">
      <c r="B19" s="135" t="s">
        <v>78</v>
      </c>
      <c r="C19" s="136"/>
      <c r="D19" s="136"/>
      <c r="E19" s="136"/>
      <c r="F19" s="136"/>
      <c r="G19" s="136"/>
      <c r="H19" s="136"/>
      <c r="I19" s="136"/>
      <c r="J19" s="134"/>
    </row>
    <row r="20" spans="2:13" ht="5.25" customHeight="1" x14ac:dyDescent="0.2">
      <c r="B20" s="107"/>
      <c r="C20" s="105"/>
      <c r="D20" s="105"/>
      <c r="E20" s="105"/>
      <c r="F20" s="110"/>
      <c r="G20" s="110"/>
      <c r="H20" s="110"/>
      <c r="I20" s="110"/>
      <c r="J20" s="110"/>
    </row>
    <row r="21" spans="2:13" x14ac:dyDescent="0.2">
      <c r="B21" s="118" t="s">
        <v>77</v>
      </c>
      <c r="C21" s="118" t="s">
        <v>74</v>
      </c>
      <c r="D21" s="118" t="s">
        <v>73</v>
      </c>
      <c r="G21" s="118" t="s">
        <v>77</v>
      </c>
      <c r="H21" s="118" t="s">
        <v>74</v>
      </c>
      <c r="I21" s="118" t="s">
        <v>73</v>
      </c>
    </row>
    <row r="22" spans="2:13" x14ac:dyDescent="0.2">
      <c r="B22" s="119" t="s">
        <v>61</v>
      </c>
      <c r="C22" s="120">
        <v>0.66900000000000004</v>
      </c>
      <c r="D22" s="121">
        <v>2.3740000000000001</v>
      </c>
      <c r="G22" s="119"/>
      <c r="H22" s="120"/>
      <c r="I22" s="121"/>
    </row>
    <row r="23" spans="2:13" x14ac:dyDescent="0.2">
      <c r="B23" s="119" t="s">
        <v>62</v>
      </c>
      <c r="C23" s="120">
        <v>1.18</v>
      </c>
      <c r="D23" s="121">
        <v>2.5720000000000001</v>
      </c>
      <c r="G23" s="119" t="s">
        <v>61</v>
      </c>
      <c r="H23" s="120">
        <v>0.66900000000000004</v>
      </c>
      <c r="I23" s="121">
        <v>2.3740000000000001</v>
      </c>
    </row>
    <row r="24" spans="2:13" x14ac:dyDescent="0.2">
      <c r="B24" s="119" t="s">
        <v>67</v>
      </c>
      <c r="C24" s="120">
        <v>1.573</v>
      </c>
      <c r="D24" s="121">
        <v>2.1030000000000002</v>
      </c>
      <c r="G24" s="119" t="s">
        <v>62</v>
      </c>
      <c r="H24" s="120">
        <v>1.18</v>
      </c>
      <c r="I24" s="121">
        <v>2.5720000000000001</v>
      </c>
    </row>
    <row r="25" spans="2:13" x14ac:dyDescent="0.2">
      <c r="B25" s="119" t="s">
        <v>63</v>
      </c>
      <c r="C25" s="120">
        <v>1.6480000000000001</v>
      </c>
      <c r="D25" s="121">
        <v>3.552</v>
      </c>
      <c r="G25" s="119" t="s">
        <v>67</v>
      </c>
      <c r="H25" s="120">
        <v>1.573</v>
      </c>
      <c r="I25" s="121">
        <v>2.1030000000000002</v>
      </c>
    </row>
    <row r="26" spans="2:13" x14ac:dyDescent="0.2">
      <c r="B26" s="119" t="s">
        <v>64</v>
      </c>
      <c r="C26" s="120">
        <v>2.5750000000000002</v>
      </c>
      <c r="D26" s="121">
        <v>5.2649999999999997</v>
      </c>
      <c r="G26" s="119" t="s">
        <v>63</v>
      </c>
      <c r="H26" s="120">
        <v>1.6480000000000001</v>
      </c>
      <c r="I26" s="121">
        <v>3.552</v>
      </c>
    </row>
    <row r="27" spans="2:13" x14ac:dyDescent="0.2">
      <c r="B27" s="119" t="s">
        <v>68</v>
      </c>
      <c r="C27" s="120">
        <v>3.4290000000000003</v>
      </c>
      <c r="D27" s="121">
        <v>5.3220000000000001</v>
      </c>
      <c r="G27" s="119" t="s">
        <v>64</v>
      </c>
      <c r="H27" s="120">
        <v>2.58</v>
      </c>
      <c r="I27" s="121">
        <v>5.27</v>
      </c>
      <c r="J27" s="104" t="s">
        <v>79</v>
      </c>
    </row>
    <row r="28" spans="2:13" x14ac:dyDescent="0.2">
      <c r="B28" s="122" t="s">
        <v>76</v>
      </c>
      <c r="C28" s="123">
        <f>+GEMSA!D14</f>
        <v>3.5727792059753196</v>
      </c>
      <c r="D28" s="124">
        <f>D27+((C28-C27)/(C29-C27))*(D29-D27)</f>
        <v>5.7410442285674739</v>
      </c>
      <c r="G28" s="122" t="s">
        <v>76</v>
      </c>
      <c r="H28" s="123">
        <f>C28</f>
        <v>3.5727792059753196</v>
      </c>
      <c r="I28" s="124">
        <f>I27+((H28-H27)/(H29-H27))*(I29-I27)</f>
        <v>6.4295546601874669</v>
      </c>
    </row>
    <row r="29" spans="2:13" x14ac:dyDescent="0.2">
      <c r="B29" s="119" t="s">
        <v>65</v>
      </c>
      <c r="C29" s="120">
        <v>3.9670000000000001</v>
      </c>
      <c r="D29" s="121">
        <v>6.89</v>
      </c>
      <c r="G29" s="119" t="s">
        <v>65</v>
      </c>
      <c r="H29" s="120">
        <v>3.9670000000000001</v>
      </c>
      <c r="I29" s="121">
        <v>6.89</v>
      </c>
    </row>
    <row r="30" spans="2:13" x14ac:dyDescent="0.2">
      <c r="B30" s="119" t="s">
        <v>66</v>
      </c>
      <c r="C30" s="120">
        <v>4.4729999999999999</v>
      </c>
      <c r="D30" s="121">
        <v>7.7460000000000004</v>
      </c>
      <c r="G30" s="119" t="s">
        <v>66</v>
      </c>
      <c r="H30" s="120">
        <v>4.4729999999999999</v>
      </c>
      <c r="I30" s="121">
        <v>7.7460000000000004</v>
      </c>
    </row>
    <row r="31" spans="2:13" x14ac:dyDescent="0.2">
      <c r="B31" s="119" t="s">
        <v>69</v>
      </c>
      <c r="C31" s="120">
        <v>5.6559999999999997</v>
      </c>
      <c r="D31" s="121">
        <v>8.6270000000000007</v>
      </c>
      <c r="G31" s="119" t="s">
        <v>69</v>
      </c>
      <c r="H31" s="120">
        <v>5.6559999999999997</v>
      </c>
      <c r="I31" s="121">
        <v>8.6270000000000007</v>
      </c>
    </row>
    <row r="32" spans="2:13" x14ac:dyDescent="0.2">
      <c r="B32" s="119" t="s">
        <v>70</v>
      </c>
      <c r="C32" s="120">
        <v>9.4420000000000002</v>
      </c>
      <c r="D32" s="121">
        <v>10.872</v>
      </c>
      <c r="G32" s="119" t="s">
        <v>70</v>
      </c>
      <c r="H32" s="120">
        <v>9.4420000000000002</v>
      </c>
      <c r="I32" s="121">
        <v>10.872</v>
      </c>
    </row>
    <row r="33" spans="2:9" s="142" customFormat="1" x14ac:dyDescent="0.2">
      <c r="B33" s="125" t="s">
        <v>71</v>
      </c>
      <c r="C33" s="126">
        <v>10.842000000000001</v>
      </c>
      <c r="D33" s="127">
        <v>9.9420000000000002</v>
      </c>
      <c r="G33" s="125" t="s">
        <v>71</v>
      </c>
      <c r="H33" s="126">
        <v>10.842000000000001</v>
      </c>
      <c r="I33" s="127">
        <v>9.9420000000000002</v>
      </c>
    </row>
  </sheetData>
  <sortState ref="B22:D33">
    <sortCondition ref="D22:D33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tabSelected="1" zoomScale="110" zoomScaleNormal="110" workbookViewId="0">
      <selection activeCell="G17" sqref="G17"/>
    </sheetView>
  </sheetViews>
  <sheetFormatPr baseColWidth="10" defaultColWidth="11.42578125" defaultRowHeight="12" x14ac:dyDescent="0.25"/>
  <cols>
    <col min="1" max="1" width="1" style="44" customWidth="1"/>
    <col min="2" max="2" width="4.5703125" style="44" customWidth="1"/>
    <col min="3" max="3" width="27" style="44" customWidth="1"/>
    <col min="4" max="4" width="18.42578125" style="179" customWidth="1"/>
    <col min="5" max="5" width="8.140625" style="44" customWidth="1"/>
    <col min="6" max="6" width="27" style="44" customWidth="1"/>
    <col min="7" max="7" width="18.42578125" style="179" customWidth="1"/>
    <col min="8" max="8" width="15.42578125" style="44" customWidth="1"/>
    <col min="9" max="16384" width="11.42578125" style="44"/>
  </cols>
  <sheetData>
    <row r="1" spans="2:10" ht="6" customHeight="1" x14ac:dyDescent="0.25"/>
    <row r="2" spans="2:10" ht="13.5" hidden="1" customHeight="1" x14ac:dyDescent="0.25">
      <c r="B2" s="45"/>
      <c r="C2" s="259"/>
      <c r="D2" s="259"/>
      <c r="E2" s="45"/>
      <c r="F2" s="259" t="s">
        <v>32</v>
      </c>
      <c r="G2" s="259"/>
    </row>
    <row r="3" spans="2:10" x14ac:dyDescent="0.25">
      <c r="C3" s="261" t="s">
        <v>39</v>
      </c>
      <c r="D3" s="261"/>
      <c r="F3" s="260" t="s">
        <v>44</v>
      </c>
      <c r="G3" s="260"/>
    </row>
    <row r="4" spans="2:10" ht="6.75" customHeight="1" x14ac:dyDescent="0.25">
      <c r="C4" s="46"/>
      <c r="D4" s="180"/>
      <c r="F4" s="46"/>
      <c r="G4" s="180"/>
    </row>
    <row r="5" spans="2:10" s="53" customFormat="1" ht="15" x14ac:dyDescent="0.25">
      <c r="C5" s="54" t="s">
        <v>30</v>
      </c>
      <c r="D5" s="181">
        <v>44391</v>
      </c>
      <c r="E5" s="55"/>
      <c r="F5" s="54" t="s">
        <v>30</v>
      </c>
      <c r="G5" s="181">
        <v>44391</v>
      </c>
      <c r="H5" s="56"/>
    </row>
    <row r="6" spans="2:10" s="53" customFormat="1" x14ac:dyDescent="0.25">
      <c r="C6" s="54" t="s">
        <v>12</v>
      </c>
      <c r="D6" s="181">
        <v>44393</v>
      </c>
      <c r="E6" s="55"/>
      <c r="F6" s="54" t="s">
        <v>12</v>
      </c>
      <c r="G6" s="181">
        <v>44393</v>
      </c>
    </row>
    <row r="7" spans="2:10" s="53" customFormat="1" ht="12.75" x14ac:dyDescent="0.25">
      <c r="C7" s="57" t="s">
        <v>9</v>
      </c>
      <c r="D7" s="181">
        <f>+'Clase XV'!E38</f>
        <v>46231</v>
      </c>
      <c r="E7" s="55"/>
      <c r="F7" s="54" t="s">
        <v>9</v>
      </c>
      <c r="G7" s="181">
        <f>+'Clase XVI'!E74</f>
        <v>47329</v>
      </c>
      <c r="H7" s="58"/>
    </row>
    <row r="8" spans="2:10" s="53" customFormat="1" ht="14.25" customHeight="1" x14ac:dyDescent="0.25">
      <c r="C8" s="57" t="s">
        <v>19</v>
      </c>
      <c r="D8" s="181" t="s">
        <v>29</v>
      </c>
      <c r="E8" s="55"/>
      <c r="F8" s="54" t="s">
        <v>19</v>
      </c>
      <c r="G8" s="181" t="s">
        <v>20</v>
      </c>
    </row>
    <row r="9" spans="2:10" s="53" customFormat="1" x14ac:dyDescent="0.25">
      <c r="C9" s="57" t="s">
        <v>3</v>
      </c>
      <c r="D9" s="182">
        <v>100</v>
      </c>
      <c r="F9" s="57" t="s">
        <v>3</v>
      </c>
      <c r="G9" s="182">
        <v>100</v>
      </c>
      <c r="H9" s="59"/>
    </row>
    <row r="10" spans="2:10" s="53" customFormat="1" x14ac:dyDescent="0.25">
      <c r="C10" s="57" t="s">
        <v>0</v>
      </c>
      <c r="D10" s="183">
        <v>60</v>
      </c>
      <c r="F10" s="57" t="s">
        <v>0</v>
      </c>
      <c r="G10" s="182">
        <v>96</v>
      </c>
    </row>
    <row r="11" spans="2:10" s="53" customFormat="1" ht="11.25" customHeight="1" x14ac:dyDescent="0.25">
      <c r="C11" s="57" t="s">
        <v>33</v>
      </c>
      <c r="D11" s="184">
        <v>81.84</v>
      </c>
      <c r="F11" s="57" t="s">
        <v>31</v>
      </c>
      <c r="G11" s="193">
        <v>95.976699999999994</v>
      </c>
    </row>
    <row r="12" spans="2:10" s="53" customFormat="1" x14ac:dyDescent="0.25">
      <c r="C12" s="57" t="s">
        <v>13</v>
      </c>
      <c r="D12" s="185" t="s">
        <v>40</v>
      </c>
      <c r="F12" s="57" t="s">
        <v>13</v>
      </c>
      <c r="G12" s="185" t="s">
        <v>40</v>
      </c>
    </row>
    <row r="13" spans="2:10" s="53" customFormat="1" x14ac:dyDescent="0.25">
      <c r="C13" s="57" t="s">
        <v>10</v>
      </c>
      <c r="D13" s="186">
        <f>+'Clase XV'!C14</f>
        <v>3.5774114274280491</v>
      </c>
      <c r="F13" s="57" t="s">
        <v>10</v>
      </c>
      <c r="G13" s="186">
        <f>'Clase XVI'!C12</f>
        <v>5.9213026188262443</v>
      </c>
    </row>
    <row r="14" spans="2:10" s="53" customFormat="1" ht="12.75" customHeight="1" x14ac:dyDescent="0.25">
      <c r="C14" s="57" t="s">
        <v>11</v>
      </c>
      <c r="D14" s="186">
        <f>+'Clase XV'!C13</f>
        <v>3.5727792059753196</v>
      </c>
      <c r="F14" s="57" t="s">
        <v>11</v>
      </c>
      <c r="G14" s="186">
        <f>'Clase XVI'!C11</f>
        <v>5.8949309310744544</v>
      </c>
      <c r="J14" s="60"/>
    </row>
    <row r="15" spans="2:10" ht="9" customHeight="1" x14ac:dyDescent="0.25">
      <c r="D15" s="187"/>
    </row>
    <row r="16" spans="2:10" ht="12" hidden="1" customHeight="1" x14ac:dyDescent="0.25">
      <c r="C16" s="47" t="s">
        <v>5</v>
      </c>
      <c r="D16" s="188">
        <v>1000000</v>
      </c>
      <c r="F16" s="47" t="s">
        <v>5</v>
      </c>
      <c r="G16" s="188">
        <v>1000000</v>
      </c>
    </row>
    <row r="17" spans="2:10" x14ac:dyDescent="0.25">
      <c r="C17" s="72" t="s">
        <v>80</v>
      </c>
      <c r="D17" s="189">
        <v>6.7500000000000004E-2</v>
      </c>
      <c r="E17" s="73"/>
      <c r="F17" s="72" t="s">
        <v>80</v>
      </c>
      <c r="G17" s="189">
        <v>7.7499999999999999E-2</v>
      </c>
    </row>
    <row r="18" spans="2:10" ht="3.75" hidden="1" customHeight="1" x14ac:dyDescent="0.25">
      <c r="C18" s="47"/>
      <c r="D18" s="190"/>
      <c r="E18" s="48"/>
      <c r="F18" s="47"/>
      <c r="G18" s="189"/>
    </row>
    <row r="19" spans="2:10" x14ac:dyDescent="0.25">
      <c r="C19" s="49" t="s">
        <v>4</v>
      </c>
      <c r="D19" s="191">
        <f>'Clase XV'!C11</f>
        <v>6.8852213025093076E-2</v>
      </c>
      <c r="E19" s="50"/>
      <c r="F19" s="49" t="s">
        <v>4</v>
      </c>
      <c r="G19" s="191">
        <f>'Clase XVI'!C9</f>
        <v>7.9680463671684285E-2</v>
      </c>
      <c r="J19" s="51"/>
    </row>
    <row r="20" spans="2:10" s="156" customFormat="1" x14ac:dyDescent="0.25">
      <c r="C20" s="157" t="s">
        <v>83</v>
      </c>
      <c r="D20" s="191">
        <f>+NOMINAL(D19,12)</f>
        <v>6.6770450609111798E-2</v>
      </c>
      <c r="E20" s="158"/>
      <c r="F20" s="157" t="s">
        <v>83</v>
      </c>
      <c r="G20" s="191">
        <f>+NOMINAL(G19,12)</f>
        <v>7.6910550345360207E-2</v>
      </c>
    </row>
    <row r="21" spans="2:10" s="156" customFormat="1" ht="6.75" customHeight="1" x14ac:dyDescent="0.25">
      <c r="C21" s="256"/>
      <c r="D21" s="192"/>
      <c r="E21" s="158"/>
      <c r="F21" s="256"/>
      <c r="G21" s="192"/>
    </row>
    <row r="22" spans="2:10" x14ac:dyDescent="0.25">
      <c r="C22" s="257" t="s">
        <v>84</v>
      </c>
      <c r="D22" s="192"/>
    </row>
    <row r="23" spans="2:10" ht="23.25" customHeight="1" x14ac:dyDescent="0.25">
      <c r="C23" s="258" t="s">
        <v>6</v>
      </c>
      <c r="D23" s="258"/>
      <c r="E23" s="258"/>
      <c r="F23" s="258"/>
      <c r="G23" s="258"/>
      <c r="H23" s="52"/>
    </row>
    <row r="24" spans="2:10" ht="31.5" customHeight="1" x14ac:dyDescent="0.25">
      <c r="B24" s="52"/>
      <c r="C24" s="258"/>
      <c r="D24" s="258"/>
      <c r="E24" s="258"/>
      <c r="F24" s="258"/>
      <c r="G24" s="258"/>
      <c r="H24" s="52"/>
    </row>
  </sheetData>
  <sheetProtection algorithmName="SHA-512" hashValue="YscFUQFBIrCGLtyYk15jhAuseD9ft8OCCz6J32S7Ij0vYogIsp4rLnJRc4HtdzhIfEjpMpq2H/nbAPnXOtzzyw==" saltValue="sg9rn5PZYa7JfHoPEhws/g==" spinCount="100000" sheet="1" selectLockedCells="1"/>
  <mergeCells count="5">
    <mergeCell ref="C23:G24"/>
    <mergeCell ref="C2:D2"/>
    <mergeCell ref="F2:G2"/>
    <mergeCell ref="F3:G3"/>
    <mergeCell ref="C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workbookViewId="0">
      <selection activeCell="B20" sqref="B20:C24"/>
    </sheetView>
  </sheetViews>
  <sheetFormatPr baseColWidth="10" defaultColWidth="14.7109375" defaultRowHeight="12" x14ac:dyDescent="0.25"/>
  <cols>
    <col min="1" max="2" width="14.7109375" style="34"/>
    <col min="3" max="3" width="9.42578125" style="34" customWidth="1"/>
    <col min="4" max="4" width="6.140625" style="35" bestFit="1" customWidth="1"/>
    <col min="5" max="5" width="14.7109375" style="36"/>
    <col min="6" max="6" width="10.28515625" style="36" customWidth="1"/>
    <col min="7" max="7" width="7.7109375" style="36" customWidth="1"/>
    <col min="8" max="11" width="11.28515625" style="36" customWidth="1"/>
    <col min="12" max="12" width="9.28515625" style="36" customWidth="1"/>
    <col min="13" max="13" width="10.42578125" style="36" customWidth="1"/>
    <col min="14" max="16384" width="14.7109375" style="34"/>
  </cols>
  <sheetData>
    <row r="1" spans="1:17" ht="6.75" customHeight="1" x14ac:dyDescent="0.25"/>
    <row r="2" spans="1:17" x14ac:dyDescent="0.25">
      <c r="A2" s="262" t="e">
        <f>GEMSA!#REF!</f>
        <v>#REF!</v>
      </c>
      <c r="B2" s="262"/>
      <c r="C2" s="262"/>
      <c r="D2" s="13" t="s">
        <v>25</v>
      </c>
      <c r="E2" s="43" t="s">
        <v>27</v>
      </c>
      <c r="F2" s="43" t="s">
        <v>28</v>
      </c>
      <c r="G2" s="43" t="s">
        <v>7</v>
      </c>
      <c r="H2" s="43" t="s">
        <v>41</v>
      </c>
      <c r="I2" s="43" t="s">
        <v>43</v>
      </c>
      <c r="J2" s="32" t="s">
        <v>45</v>
      </c>
      <c r="K2" s="43" t="s">
        <v>34</v>
      </c>
      <c r="L2" s="43" t="s">
        <v>1</v>
      </c>
      <c r="M2" s="14" t="s">
        <v>2</v>
      </c>
      <c r="N2" s="11"/>
    </row>
    <row r="3" spans="1:17" x14ac:dyDescent="0.25">
      <c r="A3" s="8" t="s">
        <v>3</v>
      </c>
      <c r="B3" s="8"/>
      <c r="C3" s="8" t="e">
        <f>GEMSA!#REF!</f>
        <v>#REF!</v>
      </c>
      <c r="D3" s="15"/>
      <c r="E3" s="12" t="e">
        <f>+C4</f>
        <v>#REF!</v>
      </c>
      <c r="F3" s="12"/>
      <c r="G3" s="12"/>
      <c r="H3" s="7"/>
      <c r="I3" s="7"/>
      <c r="J3" s="33"/>
      <c r="K3" s="7"/>
      <c r="L3" s="7"/>
      <c r="N3" s="2"/>
    </row>
    <row r="4" spans="1:17" ht="12.75" x14ac:dyDescent="0.25">
      <c r="A4" s="4" t="s">
        <v>8</v>
      </c>
      <c r="B4" s="4"/>
      <c r="C4" s="5" t="e">
        <f>GEMSA!#REF!</f>
        <v>#REF!</v>
      </c>
      <c r="D4" s="17">
        <v>0</v>
      </c>
      <c r="E4" s="5" t="e">
        <f>+E3</f>
        <v>#REF!</v>
      </c>
      <c r="F4" s="9" t="e">
        <f>E4-E3</f>
        <v>#REF!</v>
      </c>
      <c r="G4" s="1"/>
      <c r="H4" s="6"/>
      <c r="I4" s="6">
        <v>100</v>
      </c>
      <c r="J4" s="6"/>
      <c r="K4" s="6"/>
      <c r="L4" s="6"/>
      <c r="M4" s="16" t="e">
        <f>-C3</f>
        <v>#REF!</v>
      </c>
      <c r="N4" s="3"/>
      <c r="O4" s="148" t="e">
        <f>(SUM(O5:O38))/100</f>
        <v>#REF!</v>
      </c>
      <c r="P4" s="37"/>
    </row>
    <row r="5" spans="1:17" ht="12.75" x14ac:dyDescent="0.25">
      <c r="A5" s="4" t="s">
        <v>9</v>
      </c>
      <c r="B5" s="4"/>
      <c r="C5" s="5" t="e">
        <f>+EDATE(C4,60)</f>
        <v>#REF!</v>
      </c>
      <c r="D5" s="70">
        <v>6</v>
      </c>
      <c r="E5" s="5">
        <v>44589</v>
      </c>
      <c r="F5" s="9" t="e">
        <f>E5-$E$3</f>
        <v>#REF!</v>
      </c>
      <c r="G5" s="1" t="e">
        <f>+GEMSA!#REF!</f>
        <v>#REF!</v>
      </c>
      <c r="H5" s="67">
        <v>0</v>
      </c>
      <c r="I5" s="6" t="e">
        <f t="shared" ref="I5:I38" si="0">+I4+K5-J5</f>
        <v>#REF!</v>
      </c>
      <c r="J5" s="6">
        <v>0</v>
      </c>
      <c r="K5" s="67" t="e">
        <f>+YEARFRAC(E4,E5,3)*(G5)*I4</f>
        <v>#REF!</v>
      </c>
      <c r="L5" s="34"/>
      <c r="M5" s="39">
        <f>J5+L5</f>
        <v>0</v>
      </c>
      <c r="N5" s="3"/>
      <c r="O5" s="10" t="e">
        <f t="shared" ref="O5:O16" si="1">+M5/((1+G5)^(F5/$F$38))</f>
        <v>#REF!</v>
      </c>
      <c r="P5" s="37" t="e">
        <f>O5/100</f>
        <v>#REF!</v>
      </c>
      <c r="Q5" s="40"/>
    </row>
    <row r="6" spans="1:17" ht="12.75" x14ac:dyDescent="0.25">
      <c r="A6" s="4" t="s">
        <v>17</v>
      </c>
      <c r="B6" s="4"/>
      <c r="C6" s="103" t="e">
        <f>+SUMPRODUCT(P5:P38,F5:F38)/O4/365</f>
        <v>#REF!</v>
      </c>
      <c r="D6" s="17">
        <f>D5+6</f>
        <v>12</v>
      </c>
      <c r="E6" s="5">
        <f>EDATE(E5,6)</f>
        <v>44770</v>
      </c>
      <c r="F6" s="9" t="e">
        <f t="shared" ref="F6:F38" si="2">E6-$E$3</f>
        <v>#REF!</v>
      </c>
      <c r="G6" s="1" t="e">
        <f>+GEMSA!#REF!</f>
        <v>#REF!</v>
      </c>
      <c r="H6" s="6">
        <v>0</v>
      </c>
      <c r="I6" s="6" t="e">
        <f t="shared" si="0"/>
        <v>#REF!</v>
      </c>
      <c r="J6" s="6">
        <v>0</v>
      </c>
      <c r="K6" s="67" t="e">
        <f t="shared" ref="K6:K9" si="3">+YEARFRAC(E5,E6,3)*(G6)*I5</f>
        <v>#REF!</v>
      </c>
      <c r="L6" s="38"/>
      <c r="M6" s="39">
        <f t="shared" ref="M6:M38" si="4">J6+L6</f>
        <v>0</v>
      </c>
      <c r="N6" s="3"/>
      <c r="O6" s="10" t="e">
        <f t="shared" si="1"/>
        <v>#REF!</v>
      </c>
      <c r="P6" s="37" t="e">
        <f t="shared" ref="P6:P38" si="5">O6/100</f>
        <v>#REF!</v>
      </c>
      <c r="Q6" s="40"/>
    </row>
    <row r="7" spans="1:17" ht="12.75" x14ac:dyDescent="0.25">
      <c r="A7" s="4" t="s">
        <v>18</v>
      </c>
      <c r="B7" s="4" t="e">
        <f>ROUND(C7*365,0)</f>
        <v>#REF!</v>
      </c>
      <c r="C7" s="103" t="e">
        <f>+SUMPRODUCT(F5:F38,M5:M38)/M39/365</f>
        <v>#REF!</v>
      </c>
      <c r="D7" s="17">
        <f t="shared" ref="D7:D8" si="6">D6+6</f>
        <v>18</v>
      </c>
      <c r="E7" s="5">
        <f>EDATE(E6,6)</f>
        <v>44954</v>
      </c>
      <c r="F7" s="9" t="e">
        <f t="shared" si="2"/>
        <v>#REF!</v>
      </c>
      <c r="G7" s="1" t="e">
        <f>+GEMSA!#REF!</f>
        <v>#REF!</v>
      </c>
      <c r="H7" s="6">
        <v>0</v>
      </c>
      <c r="I7" s="6" t="e">
        <f t="shared" si="0"/>
        <v>#REF!</v>
      </c>
      <c r="J7" s="6">
        <v>0</v>
      </c>
      <c r="K7" s="67" t="e">
        <f t="shared" si="3"/>
        <v>#REF!</v>
      </c>
      <c r="L7" s="38"/>
      <c r="M7" s="39">
        <f t="shared" si="4"/>
        <v>0</v>
      </c>
      <c r="N7" s="3"/>
      <c r="O7" s="10" t="e">
        <f t="shared" si="1"/>
        <v>#REF!</v>
      </c>
      <c r="P7" s="37" t="e">
        <f t="shared" si="5"/>
        <v>#REF!</v>
      </c>
      <c r="Q7" s="40"/>
    </row>
    <row r="8" spans="1:17" ht="12.75" x14ac:dyDescent="0.25">
      <c r="D8" s="17">
        <f t="shared" si="6"/>
        <v>24</v>
      </c>
      <c r="E8" s="5">
        <f t="shared" ref="E8" si="7">EDATE(E7,6)</f>
        <v>45135</v>
      </c>
      <c r="F8" s="9" t="e">
        <f t="shared" si="2"/>
        <v>#REF!</v>
      </c>
      <c r="G8" s="1" t="e">
        <f>+GEMSA!#REF!</f>
        <v>#REF!</v>
      </c>
      <c r="H8" s="6">
        <v>0</v>
      </c>
      <c r="I8" s="6" t="e">
        <f t="shared" si="0"/>
        <v>#REF!</v>
      </c>
      <c r="J8" s="6">
        <v>0</v>
      </c>
      <c r="K8" s="67" t="e">
        <f t="shared" si="3"/>
        <v>#REF!</v>
      </c>
      <c r="L8" s="38"/>
      <c r="M8" s="39">
        <f t="shared" si="4"/>
        <v>0</v>
      </c>
      <c r="N8" s="3"/>
      <c r="O8" s="10" t="e">
        <f t="shared" si="1"/>
        <v>#REF!</v>
      </c>
      <c r="P8" s="37" t="e">
        <f t="shared" si="5"/>
        <v>#REF!</v>
      </c>
      <c r="Q8" s="40"/>
    </row>
    <row r="9" spans="1:17" ht="12.75" x14ac:dyDescent="0.25">
      <c r="A9" s="65" t="s">
        <v>38</v>
      </c>
      <c r="B9" s="65"/>
      <c r="C9" s="1" t="e">
        <f>NOMINAL(C10,B24)</f>
        <v>#REF!</v>
      </c>
      <c r="D9" s="17">
        <v>31</v>
      </c>
      <c r="E9" s="5">
        <f>EDATE(E8,(D9-D8))</f>
        <v>45350</v>
      </c>
      <c r="F9" s="9" t="e">
        <f t="shared" si="2"/>
        <v>#REF!</v>
      </c>
      <c r="G9" s="1" t="e">
        <f>+GEMSA!#REF!</f>
        <v>#REF!</v>
      </c>
      <c r="H9" s="6">
        <v>0</v>
      </c>
      <c r="I9" s="6" t="e">
        <f t="shared" si="0"/>
        <v>#REF!</v>
      </c>
      <c r="J9" s="6">
        <v>0</v>
      </c>
      <c r="K9" s="67" t="e">
        <f t="shared" si="3"/>
        <v>#REF!</v>
      </c>
      <c r="L9" s="38"/>
      <c r="M9" s="39">
        <f t="shared" si="4"/>
        <v>0</v>
      </c>
      <c r="N9" s="3"/>
      <c r="O9" s="10" t="e">
        <f t="shared" si="1"/>
        <v>#REF!</v>
      </c>
      <c r="P9" s="37" t="e">
        <f t="shared" si="5"/>
        <v>#REF!</v>
      </c>
      <c r="Q9" s="40"/>
    </row>
    <row r="10" spans="1:17" ht="12.75" x14ac:dyDescent="0.25">
      <c r="A10" s="66" t="s">
        <v>16</v>
      </c>
      <c r="B10" s="66"/>
      <c r="C10" s="1" t="e">
        <f>XIRR($M$4:$M$38,$E$4:$E$38)</f>
        <v>#REF!</v>
      </c>
      <c r="D10" s="164">
        <v>32</v>
      </c>
      <c r="E10" s="165">
        <v>45379</v>
      </c>
      <c r="F10" s="166" t="e">
        <f t="shared" si="2"/>
        <v>#REF!</v>
      </c>
      <c r="G10" s="167" t="e">
        <f>+GEMSA!#REF!</f>
        <v>#REF!</v>
      </c>
      <c r="H10" s="168">
        <v>4.72</v>
      </c>
      <c r="I10" s="168" t="e">
        <f>I9+K10-J10</f>
        <v>#REF!</v>
      </c>
      <c r="J10" s="168" t="e">
        <f>H10/100*$I$9</f>
        <v>#REF!</v>
      </c>
      <c r="K10" s="168"/>
      <c r="L10" s="169" t="e">
        <f t="shared" ref="L10:L38" si="8">+YEARFRAC(E9,E10,3)*(G10)*I9</f>
        <v>#REF!</v>
      </c>
      <c r="M10" s="170" t="e">
        <f t="shared" si="4"/>
        <v>#REF!</v>
      </c>
      <c r="N10" s="171"/>
      <c r="O10" s="172" t="e">
        <f t="shared" si="1"/>
        <v>#REF!</v>
      </c>
      <c r="P10" s="173" t="e">
        <f t="shared" si="5"/>
        <v>#REF!</v>
      </c>
      <c r="Q10" s="40"/>
    </row>
    <row r="11" spans="1:17" ht="12.75" x14ac:dyDescent="0.25">
      <c r="A11" s="64"/>
      <c r="B11" s="64"/>
      <c r="C11" s="67"/>
      <c r="D11" s="17">
        <f t="shared" ref="D11:D38" si="9">D10+1</f>
        <v>33</v>
      </c>
      <c r="E11" s="5">
        <v>45410</v>
      </c>
      <c r="F11" s="9" t="e">
        <f t="shared" si="2"/>
        <v>#REF!</v>
      </c>
      <c r="G11" s="1" t="e">
        <f>+GEMSA!#REF!</f>
        <v>#REF!</v>
      </c>
      <c r="H11" s="149">
        <v>4.59</v>
      </c>
      <c r="I11" s="6" t="e">
        <f t="shared" si="0"/>
        <v>#REF!</v>
      </c>
      <c r="J11" s="6" t="e">
        <f t="shared" ref="J11:J38" si="10">H11/100*$I$9</f>
        <v>#REF!</v>
      </c>
      <c r="K11" s="6"/>
      <c r="L11" s="38" t="e">
        <f t="shared" si="8"/>
        <v>#REF!</v>
      </c>
      <c r="M11" s="39" t="e">
        <f t="shared" si="4"/>
        <v>#REF!</v>
      </c>
      <c r="N11" s="3"/>
      <c r="O11" s="10" t="e">
        <f t="shared" si="1"/>
        <v>#REF!</v>
      </c>
      <c r="P11" s="37" t="e">
        <f t="shared" si="5"/>
        <v>#REF!</v>
      </c>
      <c r="Q11" s="40"/>
    </row>
    <row r="12" spans="1:17" ht="12.75" x14ac:dyDescent="0.25">
      <c r="A12" s="64"/>
      <c r="B12" s="64"/>
      <c r="C12" s="103"/>
      <c r="D12" s="17">
        <f t="shared" si="9"/>
        <v>34</v>
      </c>
      <c r="E12" s="5">
        <v>45440</v>
      </c>
      <c r="F12" s="9" t="e">
        <f t="shared" si="2"/>
        <v>#REF!</v>
      </c>
      <c r="G12" s="1" t="e">
        <f>+GEMSA!#REF!</f>
        <v>#REF!</v>
      </c>
      <c r="H12" s="149">
        <v>4.7</v>
      </c>
      <c r="I12" s="6" t="e">
        <f t="shared" si="0"/>
        <v>#REF!</v>
      </c>
      <c r="J12" s="6" t="e">
        <f t="shared" si="10"/>
        <v>#REF!</v>
      </c>
      <c r="K12" s="6"/>
      <c r="L12" s="38" t="e">
        <f t="shared" si="8"/>
        <v>#REF!</v>
      </c>
      <c r="M12" s="39" t="e">
        <f t="shared" si="4"/>
        <v>#REF!</v>
      </c>
      <c r="N12" s="3"/>
      <c r="O12" s="10" t="e">
        <f t="shared" si="1"/>
        <v>#REF!</v>
      </c>
      <c r="P12" s="37" t="e">
        <f t="shared" si="5"/>
        <v>#REF!</v>
      </c>
      <c r="Q12" s="40"/>
    </row>
    <row r="13" spans="1:17" ht="12.75" x14ac:dyDescent="0.25">
      <c r="A13" s="64"/>
      <c r="B13" s="64"/>
      <c r="C13" s="64"/>
      <c r="D13" s="17">
        <f t="shared" si="9"/>
        <v>35</v>
      </c>
      <c r="E13" s="5">
        <v>45471</v>
      </c>
      <c r="F13" s="9" t="e">
        <f t="shared" si="2"/>
        <v>#REF!</v>
      </c>
      <c r="G13" s="1" t="e">
        <f>+GEMSA!#REF!</f>
        <v>#REF!</v>
      </c>
      <c r="H13" s="149">
        <v>4.6500000000000004</v>
      </c>
      <c r="I13" s="6" t="e">
        <f t="shared" si="0"/>
        <v>#REF!</v>
      </c>
      <c r="J13" s="6" t="e">
        <f t="shared" si="10"/>
        <v>#REF!</v>
      </c>
      <c r="K13" s="6"/>
      <c r="L13" s="38" t="e">
        <f t="shared" si="8"/>
        <v>#REF!</v>
      </c>
      <c r="M13" s="39" t="e">
        <f t="shared" si="4"/>
        <v>#REF!</v>
      </c>
      <c r="N13" s="3"/>
      <c r="O13" s="10" t="e">
        <f t="shared" si="1"/>
        <v>#REF!</v>
      </c>
      <c r="P13" s="37" t="e">
        <f t="shared" si="5"/>
        <v>#REF!</v>
      </c>
      <c r="Q13" s="40"/>
    </row>
    <row r="14" spans="1:17" ht="12.75" x14ac:dyDescent="0.25">
      <c r="A14" s="66"/>
      <c r="B14" s="66"/>
      <c r="C14" s="68"/>
      <c r="D14" s="17">
        <f t="shared" si="9"/>
        <v>36</v>
      </c>
      <c r="E14" s="5">
        <v>45501</v>
      </c>
      <c r="F14" s="9" t="e">
        <f t="shared" si="2"/>
        <v>#REF!</v>
      </c>
      <c r="G14" s="1" t="e">
        <f>+GEMSA!#REF!</f>
        <v>#REF!</v>
      </c>
      <c r="H14" s="149">
        <v>4.76</v>
      </c>
      <c r="I14" s="6" t="e">
        <f t="shared" si="0"/>
        <v>#REF!</v>
      </c>
      <c r="J14" s="6" t="e">
        <f t="shared" si="10"/>
        <v>#REF!</v>
      </c>
      <c r="K14" s="6"/>
      <c r="L14" s="38" t="e">
        <f t="shared" si="8"/>
        <v>#REF!</v>
      </c>
      <c r="M14" s="39" t="e">
        <f t="shared" si="4"/>
        <v>#REF!</v>
      </c>
      <c r="N14" s="3"/>
      <c r="O14" s="10" t="e">
        <f t="shared" si="1"/>
        <v>#REF!</v>
      </c>
      <c r="P14" s="37" t="e">
        <f t="shared" si="5"/>
        <v>#REF!</v>
      </c>
      <c r="Q14" s="40"/>
    </row>
    <row r="15" spans="1:17" ht="12.75" x14ac:dyDescent="0.25">
      <c r="A15" s="66"/>
      <c r="B15" s="66"/>
      <c r="C15" s="66"/>
      <c r="D15" s="17">
        <f t="shared" si="9"/>
        <v>37</v>
      </c>
      <c r="E15" s="5">
        <v>45532</v>
      </c>
      <c r="F15" s="9" t="e">
        <f t="shared" si="2"/>
        <v>#REF!</v>
      </c>
      <c r="G15" s="1" t="e">
        <f>+GEMSA!#REF!</f>
        <v>#REF!</v>
      </c>
      <c r="H15" s="149">
        <v>4.72</v>
      </c>
      <c r="I15" s="6" t="e">
        <f t="shared" si="0"/>
        <v>#REF!</v>
      </c>
      <c r="J15" s="6" t="e">
        <f t="shared" si="10"/>
        <v>#REF!</v>
      </c>
      <c r="K15" s="6"/>
      <c r="L15" s="38" t="e">
        <f t="shared" si="8"/>
        <v>#REF!</v>
      </c>
      <c r="M15" s="39" t="e">
        <f t="shared" si="4"/>
        <v>#REF!</v>
      </c>
      <c r="N15" s="3"/>
      <c r="O15" s="10" t="e">
        <f t="shared" si="1"/>
        <v>#REF!</v>
      </c>
      <c r="P15" s="37" t="e">
        <f t="shared" si="5"/>
        <v>#REF!</v>
      </c>
      <c r="Q15" s="40"/>
    </row>
    <row r="16" spans="1:17" ht="12.75" x14ac:dyDescent="0.25">
      <c r="A16" s="66"/>
      <c r="B16" s="66"/>
      <c r="C16" s="66"/>
      <c r="D16" s="17">
        <f t="shared" si="9"/>
        <v>38</v>
      </c>
      <c r="E16" s="5">
        <v>45563</v>
      </c>
      <c r="F16" s="9" t="e">
        <f t="shared" si="2"/>
        <v>#REF!</v>
      </c>
      <c r="G16" s="1" t="e">
        <f>+GEMSA!#REF!</f>
        <v>#REF!</v>
      </c>
      <c r="H16" s="149">
        <v>4.75</v>
      </c>
      <c r="I16" s="6" t="e">
        <f t="shared" si="0"/>
        <v>#REF!</v>
      </c>
      <c r="J16" s="6" t="e">
        <f t="shared" si="10"/>
        <v>#REF!</v>
      </c>
      <c r="K16" s="6"/>
      <c r="L16" s="38" t="e">
        <f t="shared" si="8"/>
        <v>#REF!</v>
      </c>
      <c r="M16" s="39" t="e">
        <f t="shared" si="4"/>
        <v>#REF!</v>
      </c>
      <c r="N16" s="3"/>
      <c r="O16" s="10" t="e">
        <f t="shared" si="1"/>
        <v>#REF!</v>
      </c>
      <c r="P16" s="37" t="e">
        <f t="shared" si="5"/>
        <v>#REF!</v>
      </c>
      <c r="Q16" s="40"/>
    </row>
    <row r="17" spans="1:17" ht="12.75" x14ac:dyDescent="0.25">
      <c r="A17" s="69"/>
      <c r="B17" s="69"/>
      <c r="C17" s="69"/>
      <c r="D17" s="17">
        <f t="shared" si="9"/>
        <v>39</v>
      </c>
      <c r="E17" s="5">
        <v>45593</v>
      </c>
      <c r="F17" s="9" t="e">
        <f t="shared" si="2"/>
        <v>#REF!</v>
      </c>
      <c r="G17" s="1" t="e">
        <f>+GEMSA!#REF!</f>
        <v>#REF!</v>
      </c>
      <c r="H17" s="149">
        <v>4.8499999999999996</v>
      </c>
      <c r="I17" s="6" t="e">
        <f t="shared" si="0"/>
        <v>#REF!</v>
      </c>
      <c r="J17" s="6" t="e">
        <f t="shared" si="10"/>
        <v>#REF!</v>
      </c>
      <c r="K17" s="6"/>
      <c r="L17" s="38" t="e">
        <f t="shared" si="8"/>
        <v>#REF!</v>
      </c>
      <c r="M17" s="39" t="e">
        <f t="shared" si="4"/>
        <v>#REF!</v>
      </c>
      <c r="N17" s="3"/>
      <c r="O17" s="10" t="e">
        <f t="shared" ref="O17:O38" si="11">+M17/((1+G17)^(F17/$F$38))</f>
        <v>#REF!</v>
      </c>
      <c r="P17" s="37" t="e">
        <f t="shared" si="5"/>
        <v>#REF!</v>
      </c>
      <c r="Q17" s="40"/>
    </row>
    <row r="18" spans="1:17" ht="12.75" x14ac:dyDescent="0.25">
      <c r="D18" s="17">
        <f t="shared" si="9"/>
        <v>40</v>
      </c>
      <c r="E18" s="5">
        <v>45624</v>
      </c>
      <c r="F18" s="9" t="e">
        <f t="shared" si="2"/>
        <v>#REF!</v>
      </c>
      <c r="G18" s="1" t="e">
        <f>+GEMSA!#REF!</f>
        <v>#REF!</v>
      </c>
      <c r="H18" s="149">
        <v>4.8099999999999996</v>
      </c>
      <c r="I18" s="6" t="e">
        <f t="shared" si="0"/>
        <v>#REF!</v>
      </c>
      <c r="J18" s="6" t="e">
        <f t="shared" si="10"/>
        <v>#REF!</v>
      </c>
      <c r="K18" s="6"/>
      <c r="L18" s="38" t="e">
        <f t="shared" si="8"/>
        <v>#REF!</v>
      </c>
      <c r="M18" s="39" t="e">
        <f t="shared" si="4"/>
        <v>#REF!</v>
      </c>
      <c r="N18" s="3"/>
      <c r="O18" s="10" t="e">
        <f t="shared" si="11"/>
        <v>#REF!</v>
      </c>
      <c r="P18" s="37" t="e">
        <f t="shared" si="5"/>
        <v>#REF!</v>
      </c>
      <c r="Q18" s="40"/>
    </row>
    <row r="19" spans="1:17" ht="12.75" x14ac:dyDescent="0.25">
      <c r="D19" s="17">
        <f t="shared" si="9"/>
        <v>41</v>
      </c>
      <c r="E19" s="5">
        <v>45654</v>
      </c>
      <c r="F19" s="9" t="e">
        <f t="shared" si="2"/>
        <v>#REF!</v>
      </c>
      <c r="G19" s="1" t="e">
        <f>+GEMSA!#REF!</f>
        <v>#REF!</v>
      </c>
      <c r="H19" s="149">
        <v>4.92</v>
      </c>
      <c r="I19" s="6" t="e">
        <f t="shared" si="0"/>
        <v>#REF!</v>
      </c>
      <c r="J19" s="6" t="e">
        <f t="shared" si="10"/>
        <v>#REF!</v>
      </c>
      <c r="K19" s="6"/>
      <c r="L19" s="38" t="e">
        <f t="shared" si="8"/>
        <v>#REF!</v>
      </c>
      <c r="M19" s="39" t="e">
        <f t="shared" si="4"/>
        <v>#REF!</v>
      </c>
      <c r="N19" s="3"/>
      <c r="O19" s="10" t="e">
        <f t="shared" si="11"/>
        <v>#REF!</v>
      </c>
      <c r="P19" s="37" t="e">
        <f t="shared" si="5"/>
        <v>#REF!</v>
      </c>
      <c r="Q19" s="40"/>
    </row>
    <row r="20" spans="1:17" ht="12.75" x14ac:dyDescent="0.25">
      <c r="A20" s="1"/>
      <c r="B20" s="34">
        <v>32</v>
      </c>
      <c r="C20" s="34">
        <v>6</v>
      </c>
      <c r="D20" s="17">
        <f t="shared" si="9"/>
        <v>42</v>
      </c>
      <c r="E20" s="5">
        <v>45685</v>
      </c>
      <c r="F20" s="9" t="e">
        <f t="shared" si="2"/>
        <v>#REF!</v>
      </c>
      <c r="G20" s="1" t="e">
        <f>+GEMSA!#REF!</f>
        <v>#REF!</v>
      </c>
      <c r="H20" s="149">
        <v>4.88</v>
      </c>
      <c r="I20" s="6" t="e">
        <f t="shared" si="0"/>
        <v>#REF!</v>
      </c>
      <c r="J20" s="6" t="e">
        <f t="shared" si="10"/>
        <v>#REF!</v>
      </c>
      <c r="K20" s="6"/>
      <c r="L20" s="38" t="e">
        <f t="shared" si="8"/>
        <v>#REF!</v>
      </c>
      <c r="M20" s="39" t="e">
        <f t="shared" si="4"/>
        <v>#REF!</v>
      </c>
      <c r="N20" s="3"/>
      <c r="O20" s="10" t="e">
        <f t="shared" si="11"/>
        <v>#REF!</v>
      </c>
      <c r="P20" s="37" t="e">
        <f t="shared" si="5"/>
        <v>#REF!</v>
      </c>
      <c r="Q20" s="40"/>
    </row>
    <row r="21" spans="1:17" ht="12.75" x14ac:dyDescent="0.25">
      <c r="B21" s="34">
        <v>29</v>
      </c>
      <c r="C21" s="34">
        <v>12</v>
      </c>
      <c r="D21" s="17">
        <f t="shared" si="9"/>
        <v>43</v>
      </c>
      <c r="E21" s="5">
        <v>45716</v>
      </c>
      <c r="F21" s="9" t="e">
        <f t="shared" si="2"/>
        <v>#REF!</v>
      </c>
      <c r="G21" s="1" t="e">
        <f>+GEMSA!#REF!</f>
        <v>#REF!</v>
      </c>
      <c r="H21" s="149">
        <v>4.91</v>
      </c>
      <c r="I21" s="6" t="e">
        <f t="shared" si="0"/>
        <v>#REF!</v>
      </c>
      <c r="J21" s="6" t="e">
        <f t="shared" si="10"/>
        <v>#REF!</v>
      </c>
      <c r="K21" s="6"/>
      <c r="L21" s="38" t="e">
        <f t="shared" si="8"/>
        <v>#REF!</v>
      </c>
      <c r="M21" s="39" t="e">
        <f t="shared" si="4"/>
        <v>#REF!</v>
      </c>
      <c r="N21" s="3"/>
      <c r="O21" s="10" t="e">
        <f t="shared" si="11"/>
        <v>#REF!</v>
      </c>
      <c r="P21" s="37" t="e">
        <f t="shared" si="5"/>
        <v>#REF!</v>
      </c>
      <c r="Q21" s="40"/>
    </row>
    <row r="22" spans="1:17" ht="12.75" x14ac:dyDescent="0.25">
      <c r="D22" s="17">
        <f t="shared" si="9"/>
        <v>44</v>
      </c>
      <c r="E22" s="5">
        <v>45744</v>
      </c>
      <c r="F22" s="9" t="e">
        <f t="shared" si="2"/>
        <v>#REF!</v>
      </c>
      <c r="G22" s="1" t="e">
        <f>+GEMSA!#REF!</f>
        <v>#REF!</v>
      </c>
      <c r="H22" s="149">
        <v>5.15</v>
      </c>
      <c r="I22" s="6" t="e">
        <f t="shared" si="0"/>
        <v>#REF!</v>
      </c>
      <c r="J22" s="6" t="e">
        <f t="shared" si="10"/>
        <v>#REF!</v>
      </c>
      <c r="K22" s="6"/>
      <c r="L22" s="38" t="e">
        <f t="shared" si="8"/>
        <v>#REF!</v>
      </c>
      <c r="M22" s="39" t="e">
        <f t="shared" si="4"/>
        <v>#REF!</v>
      </c>
      <c r="N22" s="3"/>
      <c r="O22" s="10" t="e">
        <f t="shared" si="11"/>
        <v>#REF!</v>
      </c>
      <c r="P22" s="37" t="e">
        <f t="shared" si="5"/>
        <v>#REF!</v>
      </c>
      <c r="Q22" s="40"/>
    </row>
    <row r="23" spans="1:17" ht="12.75" x14ac:dyDescent="0.25">
      <c r="B23" s="34">
        <f>B20*C20+B21*C21</f>
        <v>540</v>
      </c>
      <c r="D23" s="17">
        <f t="shared" si="9"/>
        <v>45</v>
      </c>
      <c r="E23" s="5">
        <v>45775</v>
      </c>
      <c r="F23" s="9" t="e">
        <f t="shared" si="2"/>
        <v>#REF!</v>
      </c>
      <c r="G23" s="1" t="e">
        <f>+GEMSA!#REF!</f>
        <v>#REF!</v>
      </c>
      <c r="H23" s="149">
        <v>4.9800000000000004</v>
      </c>
      <c r="I23" s="6" t="e">
        <f t="shared" si="0"/>
        <v>#REF!</v>
      </c>
      <c r="J23" s="6" t="e">
        <f t="shared" si="10"/>
        <v>#REF!</v>
      </c>
      <c r="K23" s="6"/>
      <c r="L23" s="38" t="e">
        <f t="shared" si="8"/>
        <v>#REF!</v>
      </c>
      <c r="M23" s="39" t="e">
        <f t="shared" si="4"/>
        <v>#REF!</v>
      </c>
      <c r="N23" s="3"/>
      <c r="O23" s="10" t="e">
        <f t="shared" si="11"/>
        <v>#REF!</v>
      </c>
      <c r="P23" s="37" t="e">
        <f t="shared" si="5"/>
        <v>#REF!</v>
      </c>
      <c r="Q23" s="40"/>
    </row>
    <row r="24" spans="1:17" ht="12.75" x14ac:dyDescent="0.25">
      <c r="B24" s="34">
        <f>B23/(B20+B21)</f>
        <v>8.8524590163934427</v>
      </c>
      <c r="D24" s="17">
        <f t="shared" si="9"/>
        <v>46</v>
      </c>
      <c r="E24" s="5">
        <v>45805</v>
      </c>
      <c r="F24" s="9" t="e">
        <f t="shared" si="2"/>
        <v>#REF!</v>
      </c>
      <c r="G24" s="1" t="e">
        <f>+GEMSA!#REF!</f>
        <v>#REF!</v>
      </c>
      <c r="H24" s="149">
        <v>5.08</v>
      </c>
      <c r="I24" s="6" t="e">
        <f t="shared" si="0"/>
        <v>#REF!</v>
      </c>
      <c r="J24" s="6" t="e">
        <f t="shared" si="10"/>
        <v>#REF!</v>
      </c>
      <c r="K24" s="6"/>
      <c r="L24" s="38" t="e">
        <f t="shared" si="8"/>
        <v>#REF!</v>
      </c>
      <c r="M24" s="39" t="e">
        <f t="shared" si="4"/>
        <v>#REF!</v>
      </c>
      <c r="N24" s="3"/>
      <c r="O24" s="10" t="e">
        <f t="shared" si="11"/>
        <v>#REF!</v>
      </c>
      <c r="P24" s="37" t="e">
        <f t="shared" si="5"/>
        <v>#REF!</v>
      </c>
      <c r="Q24" s="40"/>
    </row>
    <row r="25" spans="1:17" ht="12.75" x14ac:dyDescent="0.25">
      <c r="D25" s="17">
        <f t="shared" si="9"/>
        <v>47</v>
      </c>
      <c r="E25" s="5">
        <v>45836</v>
      </c>
      <c r="F25" s="9" t="e">
        <f t="shared" si="2"/>
        <v>#REF!</v>
      </c>
      <c r="G25" s="1" t="e">
        <f>+GEMSA!#REF!</f>
        <v>#REF!</v>
      </c>
      <c r="H25" s="149">
        <v>5.05</v>
      </c>
      <c r="I25" s="6" t="e">
        <f t="shared" si="0"/>
        <v>#REF!</v>
      </c>
      <c r="J25" s="6" t="e">
        <f t="shared" si="10"/>
        <v>#REF!</v>
      </c>
      <c r="K25" s="6"/>
      <c r="L25" s="38" t="e">
        <f t="shared" si="8"/>
        <v>#REF!</v>
      </c>
      <c r="M25" s="39" t="e">
        <f t="shared" si="4"/>
        <v>#REF!</v>
      </c>
      <c r="N25" s="3"/>
      <c r="O25" s="10" t="e">
        <f t="shared" si="11"/>
        <v>#REF!</v>
      </c>
      <c r="P25" s="37" t="e">
        <f t="shared" si="5"/>
        <v>#REF!</v>
      </c>
      <c r="Q25" s="40"/>
    </row>
    <row r="26" spans="1:17" ht="12.75" x14ac:dyDescent="0.25">
      <c r="D26" s="17">
        <f t="shared" si="9"/>
        <v>48</v>
      </c>
      <c r="E26" s="5">
        <v>45866</v>
      </c>
      <c r="F26" s="9" t="e">
        <f t="shared" si="2"/>
        <v>#REF!</v>
      </c>
      <c r="G26" s="1" t="e">
        <f>+GEMSA!#REF!</f>
        <v>#REF!</v>
      </c>
      <c r="H26" s="149">
        <v>5.15</v>
      </c>
      <c r="I26" s="6" t="e">
        <f t="shared" si="0"/>
        <v>#REF!</v>
      </c>
      <c r="J26" s="6" t="e">
        <f t="shared" si="10"/>
        <v>#REF!</v>
      </c>
      <c r="K26" s="6"/>
      <c r="L26" s="38" t="e">
        <f t="shared" si="8"/>
        <v>#REF!</v>
      </c>
      <c r="M26" s="39" t="e">
        <f t="shared" si="4"/>
        <v>#REF!</v>
      </c>
      <c r="N26" s="3"/>
      <c r="O26" s="10" t="e">
        <f t="shared" si="11"/>
        <v>#REF!</v>
      </c>
      <c r="P26" s="37" t="e">
        <f t="shared" si="5"/>
        <v>#REF!</v>
      </c>
      <c r="Q26" s="40"/>
    </row>
    <row r="27" spans="1:17" ht="12.75" x14ac:dyDescent="0.25">
      <c r="D27" s="17">
        <f t="shared" si="9"/>
        <v>49</v>
      </c>
      <c r="E27" s="5">
        <v>45897</v>
      </c>
      <c r="F27" s="9" t="e">
        <f t="shared" si="2"/>
        <v>#REF!</v>
      </c>
      <c r="G27" s="1" t="e">
        <f>+GEMSA!#REF!</f>
        <v>#REF!</v>
      </c>
      <c r="H27" s="149">
        <v>1.38</v>
      </c>
      <c r="I27" s="6" t="e">
        <f t="shared" si="0"/>
        <v>#REF!</v>
      </c>
      <c r="J27" s="6" t="e">
        <f t="shared" si="10"/>
        <v>#REF!</v>
      </c>
      <c r="K27" s="6"/>
      <c r="L27" s="38" t="e">
        <f t="shared" si="8"/>
        <v>#REF!</v>
      </c>
      <c r="M27" s="39" t="e">
        <f t="shared" si="4"/>
        <v>#REF!</v>
      </c>
      <c r="N27" s="3"/>
      <c r="O27" s="10" t="e">
        <f t="shared" si="11"/>
        <v>#REF!</v>
      </c>
      <c r="P27" s="37" t="e">
        <f t="shared" si="5"/>
        <v>#REF!</v>
      </c>
      <c r="Q27" s="40"/>
    </row>
    <row r="28" spans="1:17" ht="12.75" x14ac:dyDescent="0.25">
      <c r="D28" s="17">
        <f t="shared" si="9"/>
        <v>50</v>
      </c>
      <c r="E28" s="5">
        <v>45928</v>
      </c>
      <c r="F28" s="9" t="e">
        <f t="shared" si="2"/>
        <v>#REF!</v>
      </c>
      <c r="G28" s="1" t="e">
        <f>+GEMSA!#REF!</f>
        <v>#REF!</v>
      </c>
      <c r="H28" s="149">
        <v>1.39</v>
      </c>
      <c r="I28" s="6" t="e">
        <f t="shared" si="0"/>
        <v>#REF!</v>
      </c>
      <c r="J28" s="6" t="e">
        <f t="shared" si="10"/>
        <v>#REF!</v>
      </c>
      <c r="K28" s="6"/>
      <c r="L28" s="38" t="e">
        <f t="shared" si="8"/>
        <v>#REF!</v>
      </c>
      <c r="M28" s="39" t="e">
        <f t="shared" si="4"/>
        <v>#REF!</v>
      </c>
      <c r="N28" s="3"/>
      <c r="O28" s="10" t="e">
        <f t="shared" si="11"/>
        <v>#REF!</v>
      </c>
      <c r="P28" s="37" t="e">
        <f t="shared" si="5"/>
        <v>#REF!</v>
      </c>
      <c r="Q28" s="40"/>
    </row>
    <row r="29" spans="1:17" ht="12.75" x14ac:dyDescent="0.25">
      <c r="D29" s="17">
        <f t="shared" si="9"/>
        <v>51</v>
      </c>
      <c r="E29" s="5">
        <v>45958</v>
      </c>
      <c r="F29" s="9" t="e">
        <f t="shared" si="2"/>
        <v>#REF!</v>
      </c>
      <c r="G29" s="1" t="e">
        <f>+GEMSA!#REF!</f>
        <v>#REF!</v>
      </c>
      <c r="H29" s="149">
        <v>1.42</v>
      </c>
      <c r="I29" s="6" t="e">
        <f t="shared" si="0"/>
        <v>#REF!</v>
      </c>
      <c r="J29" s="6" t="e">
        <f t="shared" si="10"/>
        <v>#REF!</v>
      </c>
      <c r="K29" s="6"/>
      <c r="L29" s="38" t="e">
        <f t="shared" si="8"/>
        <v>#REF!</v>
      </c>
      <c r="M29" s="39" t="e">
        <f t="shared" si="4"/>
        <v>#REF!</v>
      </c>
      <c r="N29" s="3"/>
      <c r="O29" s="10" t="e">
        <f t="shared" si="11"/>
        <v>#REF!</v>
      </c>
      <c r="P29" s="37" t="e">
        <f t="shared" si="5"/>
        <v>#REF!</v>
      </c>
      <c r="Q29" s="40"/>
    </row>
    <row r="30" spans="1:17" ht="12.75" x14ac:dyDescent="0.25">
      <c r="D30" s="17">
        <f t="shared" si="9"/>
        <v>52</v>
      </c>
      <c r="E30" s="5">
        <v>45989</v>
      </c>
      <c r="F30" s="9" t="e">
        <f t="shared" si="2"/>
        <v>#REF!</v>
      </c>
      <c r="G30" s="1" t="e">
        <f>+GEMSA!#REF!</f>
        <v>#REF!</v>
      </c>
      <c r="H30" s="149">
        <v>1.41</v>
      </c>
      <c r="I30" s="6" t="e">
        <f t="shared" si="0"/>
        <v>#REF!</v>
      </c>
      <c r="J30" s="6" t="e">
        <f t="shared" si="10"/>
        <v>#REF!</v>
      </c>
      <c r="K30" s="6"/>
      <c r="L30" s="38" t="e">
        <f t="shared" si="8"/>
        <v>#REF!</v>
      </c>
      <c r="M30" s="39" t="e">
        <f t="shared" si="4"/>
        <v>#REF!</v>
      </c>
      <c r="N30" s="3"/>
      <c r="O30" s="10" t="e">
        <f t="shared" si="11"/>
        <v>#REF!</v>
      </c>
      <c r="P30" s="37" t="e">
        <f t="shared" si="5"/>
        <v>#REF!</v>
      </c>
      <c r="Q30" s="40"/>
    </row>
    <row r="31" spans="1:17" ht="12.75" x14ac:dyDescent="0.25">
      <c r="D31" s="17">
        <f t="shared" si="9"/>
        <v>53</v>
      </c>
      <c r="E31" s="5">
        <v>46019</v>
      </c>
      <c r="F31" s="9" t="e">
        <f t="shared" si="2"/>
        <v>#REF!</v>
      </c>
      <c r="G31" s="1" t="e">
        <f>+GEMSA!#REF!</f>
        <v>#REF!</v>
      </c>
      <c r="H31" s="149">
        <v>1.44</v>
      </c>
      <c r="I31" s="6" t="e">
        <f t="shared" si="0"/>
        <v>#REF!</v>
      </c>
      <c r="J31" s="6" t="e">
        <f t="shared" si="10"/>
        <v>#REF!</v>
      </c>
      <c r="K31" s="6"/>
      <c r="L31" s="38" t="e">
        <f t="shared" si="8"/>
        <v>#REF!</v>
      </c>
      <c r="M31" s="39" t="e">
        <f t="shared" si="4"/>
        <v>#REF!</v>
      </c>
      <c r="N31" s="3"/>
      <c r="O31" s="10" t="e">
        <f t="shared" si="11"/>
        <v>#REF!</v>
      </c>
      <c r="P31" s="37" t="e">
        <f t="shared" si="5"/>
        <v>#REF!</v>
      </c>
      <c r="Q31" s="40"/>
    </row>
    <row r="32" spans="1:17" ht="12.75" x14ac:dyDescent="0.25">
      <c r="D32" s="17">
        <f t="shared" si="9"/>
        <v>54</v>
      </c>
      <c r="E32" s="5">
        <v>46050</v>
      </c>
      <c r="F32" s="9" t="e">
        <f t="shared" si="2"/>
        <v>#REF!</v>
      </c>
      <c r="G32" s="1" t="e">
        <f>+GEMSA!#REF!</f>
        <v>#REF!</v>
      </c>
      <c r="H32" s="149">
        <v>1.43</v>
      </c>
      <c r="I32" s="6" t="e">
        <f t="shared" si="0"/>
        <v>#REF!</v>
      </c>
      <c r="J32" s="6" t="e">
        <f t="shared" si="10"/>
        <v>#REF!</v>
      </c>
      <c r="K32" s="6"/>
      <c r="L32" s="38" t="e">
        <f t="shared" si="8"/>
        <v>#REF!</v>
      </c>
      <c r="M32" s="39" t="e">
        <f t="shared" si="4"/>
        <v>#REF!</v>
      </c>
      <c r="N32" s="3"/>
      <c r="O32" s="10" t="e">
        <f t="shared" si="11"/>
        <v>#REF!</v>
      </c>
      <c r="P32" s="37" t="e">
        <f t="shared" si="5"/>
        <v>#REF!</v>
      </c>
      <c r="Q32" s="40"/>
    </row>
    <row r="33" spans="3:17" ht="12.75" x14ac:dyDescent="0.25">
      <c r="D33" s="17">
        <f t="shared" si="9"/>
        <v>55</v>
      </c>
      <c r="E33" s="5">
        <v>46081</v>
      </c>
      <c r="F33" s="9" t="e">
        <f t="shared" si="2"/>
        <v>#REF!</v>
      </c>
      <c r="G33" s="1" t="e">
        <f>+GEMSA!#REF!</f>
        <v>#REF!</v>
      </c>
      <c r="H33" s="149">
        <v>1.44</v>
      </c>
      <c r="I33" s="6" t="e">
        <f t="shared" si="0"/>
        <v>#REF!</v>
      </c>
      <c r="J33" s="6" t="e">
        <f t="shared" si="10"/>
        <v>#REF!</v>
      </c>
      <c r="K33" s="6"/>
      <c r="L33" s="38" t="e">
        <f t="shared" si="8"/>
        <v>#REF!</v>
      </c>
      <c r="M33" s="39" t="e">
        <f t="shared" si="4"/>
        <v>#REF!</v>
      </c>
      <c r="N33" s="3"/>
      <c r="O33" s="10" t="e">
        <f t="shared" si="11"/>
        <v>#REF!</v>
      </c>
      <c r="P33" s="37" t="e">
        <f t="shared" si="5"/>
        <v>#REF!</v>
      </c>
      <c r="Q33" s="40"/>
    </row>
    <row r="34" spans="3:17" ht="12.75" x14ac:dyDescent="0.25">
      <c r="D34" s="17">
        <f t="shared" si="9"/>
        <v>56</v>
      </c>
      <c r="E34" s="5">
        <v>46109</v>
      </c>
      <c r="F34" s="9" t="e">
        <f t="shared" si="2"/>
        <v>#REF!</v>
      </c>
      <c r="G34" s="1" t="e">
        <f>+GEMSA!#REF!</f>
        <v>#REF!</v>
      </c>
      <c r="H34" s="149">
        <v>1.49</v>
      </c>
      <c r="I34" s="6" t="e">
        <f t="shared" si="0"/>
        <v>#REF!</v>
      </c>
      <c r="J34" s="6" t="e">
        <f t="shared" si="10"/>
        <v>#REF!</v>
      </c>
      <c r="K34" s="6"/>
      <c r="L34" s="38" t="e">
        <f t="shared" si="8"/>
        <v>#REF!</v>
      </c>
      <c r="M34" s="39" t="e">
        <f t="shared" si="4"/>
        <v>#REF!</v>
      </c>
      <c r="N34" s="3"/>
      <c r="O34" s="10" t="e">
        <f t="shared" si="11"/>
        <v>#REF!</v>
      </c>
      <c r="P34" s="37" t="e">
        <f t="shared" si="5"/>
        <v>#REF!</v>
      </c>
      <c r="Q34" s="40"/>
    </row>
    <row r="35" spans="3:17" ht="12.75" x14ac:dyDescent="0.25">
      <c r="D35" s="17">
        <f t="shared" si="9"/>
        <v>57</v>
      </c>
      <c r="E35" s="5">
        <v>46140</v>
      </c>
      <c r="F35" s="9" t="e">
        <f t="shared" si="2"/>
        <v>#REF!</v>
      </c>
      <c r="G35" s="1" t="e">
        <f>+GEMSA!#REF!</f>
        <v>#REF!</v>
      </c>
      <c r="H35" s="149">
        <v>1.46</v>
      </c>
      <c r="I35" s="6" t="e">
        <f t="shared" si="0"/>
        <v>#REF!</v>
      </c>
      <c r="J35" s="6" t="e">
        <f t="shared" si="10"/>
        <v>#REF!</v>
      </c>
      <c r="K35" s="6"/>
      <c r="L35" s="38" t="e">
        <f t="shared" si="8"/>
        <v>#REF!</v>
      </c>
      <c r="M35" s="39" t="e">
        <f t="shared" si="4"/>
        <v>#REF!</v>
      </c>
      <c r="N35" s="3"/>
      <c r="O35" s="10" t="e">
        <f t="shared" si="11"/>
        <v>#REF!</v>
      </c>
      <c r="P35" s="37" t="e">
        <f t="shared" si="5"/>
        <v>#REF!</v>
      </c>
      <c r="Q35" s="40"/>
    </row>
    <row r="36" spans="3:17" ht="12.75" x14ac:dyDescent="0.25">
      <c r="D36" s="17">
        <f t="shared" si="9"/>
        <v>58</v>
      </c>
      <c r="E36" s="5">
        <v>46170</v>
      </c>
      <c r="F36" s="9" t="e">
        <f t="shared" si="2"/>
        <v>#REF!</v>
      </c>
      <c r="G36" s="1" t="e">
        <f>+GEMSA!#REF!</f>
        <v>#REF!</v>
      </c>
      <c r="H36" s="149">
        <v>1.48</v>
      </c>
      <c r="I36" s="6" t="e">
        <f t="shared" si="0"/>
        <v>#REF!</v>
      </c>
      <c r="J36" s="6" t="e">
        <f t="shared" si="10"/>
        <v>#REF!</v>
      </c>
      <c r="K36" s="6"/>
      <c r="L36" s="38" t="e">
        <f t="shared" si="8"/>
        <v>#REF!</v>
      </c>
      <c r="M36" s="39" t="e">
        <f t="shared" si="4"/>
        <v>#REF!</v>
      </c>
      <c r="N36" s="3"/>
      <c r="O36" s="10" t="e">
        <f t="shared" si="11"/>
        <v>#REF!</v>
      </c>
      <c r="P36" s="37" t="e">
        <f t="shared" si="5"/>
        <v>#REF!</v>
      </c>
      <c r="Q36" s="40"/>
    </row>
    <row r="37" spans="3:17" ht="12.75" x14ac:dyDescent="0.25">
      <c r="D37" s="17">
        <f t="shared" si="9"/>
        <v>59</v>
      </c>
      <c r="E37" s="5">
        <v>46201</v>
      </c>
      <c r="F37" s="9" t="e">
        <f t="shared" si="2"/>
        <v>#REF!</v>
      </c>
      <c r="G37" s="1" t="e">
        <f>+GEMSA!#REF!</f>
        <v>#REF!</v>
      </c>
      <c r="H37" s="149">
        <v>1.48</v>
      </c>
      <c r="I37" s="6" t="e">
        <f t="shared" si="0"/>
        <v>#REF!</v>
      </c>
      <c r="J37" s="6" t="e">
        <f t="shared" si="10"/>
        <v>#REF!</v>
      </c>
      <c r="K37" s="6"/>
      <c r="L37" s="38" t="e">
        <f t="shared" si="8"/>
        <v>#REF!</v>
      </c>
      <c r="M37" s="39" t="e">
        <f t="shared" si="4"/>
        <v>#REF!</v>
      </c>
      <c r="N37" s="3"/>
      <c r="O37" s="10" t="e">
        <f t="shared" si="11"/>
        <v>#REF!</v>
      </c>
      <c r="P37" s="37" t="e">
        <f t="shared" si="5"/>
        <v>#REF!</v>
      </c>
      <c r="Q37" s="40"/>
    </row>
    <row r="38" spans="3:17" ht="12.75" x14ac:dyDescent="0.25">
      <c r="D38" s="17">
        <f t="shared" si="9"/>
        <v>60</v>
      </c>
      <c r="E38" s="5">
        <v>46231</v>
      </c>
      <c r="F38" s="9" t="e">
        <f t="shared" si="2"/>
        <v>#REF!</v>
      </c>
      <c r="G38" s="1" t="e">
        <f>+GEMSA!#REF!</f>
        <v>#REF!</v>
      </c>
      <c r="H38" s="149">
        <v>1.51</v>
      </c>
      <c r="I38" s="6" t="e">
        <f t="shared" si="0"/>
        <v>#REF!</v>
      </c>
      <c r="J38" s="62" t="e">
        <f t="shared" si="10"/>
        <v>#REF!</v>
      </c>
      <c r="K38" s="6"/>
      <c r="L38" s="38" t="e">
        <f t="shared" si="8"/>
        <v>#REF!</v>
      </c>
      <c r="M38" s="39" t="e">
        <f t="shared" si="4"/>
        <v>#REF!</v>
      </c>
      <c r="N38" s="3"/>
      <c r="O38" s="10" t="e">
        <f t="shared" si="11"/>
        <v>#REF!</v>
      </c>
      <c r="P38" s="37" t="e">
        <f t="shared" si="5"/>
        <v>#REF!</v>
      </c>
    </row>
    <row r="39" spans="3:17" ht="14.25" customHeight="1" x14ac:dyDescent="0.25">
      <c r="C39" s="155"/>
      <c r="D39" s="18"/>
      <c r="E39" s="19"/>
      <c r="F39" s="20"/>
      <c r="G39" s="21"/>
      <c r="H39" s="22">
        <f>+SUM(H5:H38)</f>
        <v>100</v>
      </c>
      <c r="I39" s="22"/>
      <c r="J39" s="22"/>
      <c r="K39" s="22"/>
      <c r="L39" s="22" t="e">
        <f>+SUM(L5:L38)</f>
        <v>#REF!</v>
      </c>
      <c r="M39" s="22" t="e">
        <f>+SUM(M5:M38)</f>
        <v>#REF!</v>
      </c>
      <c r="O39" s="10"/>
      <c r="P39" s="37"/>
    </row>
    <row r="40" spans="3:17" ht="14.25" customHeight="1" x14ac:dyDescent="0.25">
      <c r="D40" s="17"/>
      <c r="E40" s="5"/>
      <c r="F40" s="9"/>
      <c r="G40" s="1"/>
      <c r="H40" s="6"/>
      <c r="I40" s="6"/>
      <c r="J40" s="6"/>
      <c r="K40" s="6"/>
      <c r="L40" s="38"/>
      <c r="M40" s="39"/>
      <c r="O40" s="10"/>
      <c r="P40" s="37"/>
    </row>
    <row r="41" spans="3:17" ht="14.25" customHeight="1" x14ac:dyDescent="0.25">
      <c r="D41" s="17"/>
      <c r="E41" s="5"/>
      <c r="F41" s="9"/>
      <c r="G41" s="1"/>
      <c r="H41" s="6"/>
      <c r="I41" s="6"/>
      <c r="J41" s="6"/>
      <c r="K41" s="6"/>
      <c r="L41" s="38"/>
      <c r="M41" s="41"/>
      <c r="O41" s="10"/>
      <c r="P41" s="37"/>
    </row>
    <row r="42" spans="3:17" ht="14.25" customHeight="1" x14ac:dyDescent="0.25">
      <c r="D42" s="17"/>
      <c r="E42" s="5"/>
      <c r="F42" s="9"/>
      <c r="G42" s="1"/>
      <c r="H42" s="6"/>
      <c r="I42" s="6"/>
      <c r="J42" s="6"/>
      <c r="K42" s="6"/>
      <c r="L42" s="38"/>
      <c r="M42" s="39"/>
      <c r="O42" s="10"/>
      <c r="P42" s="37"/>
    </row>
    <row r="43" spans="3:17" x14ac:dyDescent="0.25">
      <c r="E43" s="5"/>
      <c r="G43" s="1"/>
    </row>
    <row r="44" spans="3:17" x14ac:dyDescent="0.25">
      <c r="G44" s="1"/>
    </row>
    <row r="45" spans="3:17" x14ac:dyDescent="0.25">
      <c r="D45" s="17"/>
      <c r="E45" s="5"/>
      <c r="F45" s="9"/>
      <c r="G45" s="1"/>
      <c r="H45" s="6"/>
      <c r="I45" s="6"/>
      <c r="J45" s="6"/>
      <c r="K45" s="6"/>
      <c r="L45" s="38"/>
      <c r="M45" s="39"/>
    </row>
    <row r="52" spans="5:7" ht="14.25" customHeight="1" x14ac:dyDescent="0.25"/>
    <row r="53" spans="5:7" ht="14.25" customHeight="1" x14ac:dyDescent="0.25"/>
    <row r="56" spans="5:7" x14ac:dyDescent="0.25">
      <c r="E56" s="42"/>
      <c r="F56" s="42"/>
      <c r="G56" s="42"/>
    </row>
  </sheetData>
  <mergeCells count="1">
    <mergeCell ref="A2:C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workbookViewId="0">
      <selection activeCell="A19" sqref="A19"/>
    </sheetView>
  </sheetViews>
  <sheetFormatPr baseColWidth="10" defaultColWidth="14.7109375" defaultRowHeight="12" x14ac:dyDescent="0.25"/>
  <cols>
    <col min="1" max="1" width="22.42578125" style="23" bestFit="1" customWidth="1"/>
    <col min="2" max="2" width="4.85546875" style="23" customWidth="1"/>
    <col min="3" max="3" width="14.28515625" style="23" customWidth="1"/>
    <col min="4" max="4" width="5.7109375" style="23" bestFit="1" customWidth="1"/>
    <col min="5" max="5" width="10" style="23" customWidth="1"/>
    <col min="6" max="6" width="6.7109375" style="23" customWidth="1"/>
    <col min="7" max="7" width="9.5703125" style="23" customWidth="1"/>
    <col min="8" max="8" width="10.28515625" style="23" customWidth="1"/>
    <col min="9" max="9" width="8.42578125" style="23" customWidth="1"/>
    <col min="10" max="10" width="11.5703125" style="23" bestFit="1" customWidth="1"/>
    <col min="11" max="12" width="8.42578125" style="23" customWidth="1"/>
    <col min="13" max="14" width="14.7109375" style="23"/>
    <col min="15" max="16" width="14.7109375" style="237" customWidth="1"/>
    <col min="17" max="17" width="14.7109375" style="23" customWidth="1"/>
    <col min="18" max="16384" width="14.7109375" style="23"/>
  </cols>
  <sheetData>
    <row r="1" spans="1:16" ht="6.75" customHeight="1" x14ac:dyDescent="0.25">
      <c r="A1" s="194"/>
      <c r="B1" s="194"/>
      <c r="C1" s="194"/>
      <c r="D1" s="195"/>
    </row>
    <row r="2" spans="1:16" ht="15" customHeight="1" x14ac:dyDescent="0.25">
      <c r="A2" s="263" t="str">
        <f>GEMSA!C3</f>
        <v>UVA / Clase XV</v>
      </c>
      <c r="B2" s="263"/>
      <c r="C2" s="264"/>
      <c r="D2" s="196" t="s">
        <v>25</v>
      </c>
      <c r="E2" s="197" t="s">
        <v>26</v>
      </c>
      <c r="F2" s="197" t="s">
        <v>28</v>
      </c>
      <c r="G2" s="197" t="s">
        <v>7</v>
      </c>
      <c r="H2" s="197" t="s">
        <v>41</v>
      </c>
      <c r="I2" s="197" t="s">
        <v>43</v>
      </c>
      <c r="J2" s="32" t="s">
        <v>45</v>
      </c>
      <c r="K2" s="197" t="s">
        <v>36</v>
      </c>
      <c r="L2" s="197" t="s">
        <v>1</v>
      </c>
      <c r="M2" s="24" t="s">
        <v>2</v>
      </c>
      <c r="N2" s="24"/>
    </row>
    <row r="3" spans="1:16" s="26" customFormat="1" x14ac:dyDescent="0.25">
      <c r="A3" s="198" t="s">
        <v>3</v>
      </c>
      <c r="B3" s="198"/>
      <c r="C3" s="198">
        <f>GEMSA!D9</f>
        <v>100</v>
      </c>
      <c r="D3" s="199"/>
      <c r="E3" s="200">
        <f>+C4</f>
        <v>44393</v>
      </c>
      <c r="F3" s="201"/>
      <c r="G3" s="201"/>
      <c r="H3" s="202">
        <v>0</v>
      </c>
      <c r="I3" s="202"/>
      <c r="J3" s="33"/>
      <c r="K3" s="202"/>
      <c r="L3" s="203"/>
      <c r="N3" s="25"/>
      <c r="O3" s="237"/>
      <c r="P3" s="237"/>
    </row>
    <row r="4" spans="1:16" ht="12.75" x14ac:dyDescent="0.25">
      <c r="A4" s="204" t="s">
        <v>8</v>
      </c>
      <c r="B4" s="204"/>
      <c r="C4" s="205">
        <f>GEMSA!D6</f>
        <v>44393</v>
      </c>
      <c r="D4" s="195">
        <v>0</v>
      </c>
      <c r="E4" s="206">
        <f>+E3</f>
        <v>44393</v>
      </c>
      <c r="F4" s="207">
        <f>E4-E3</f>
        <v>0</v>
      </c>
      <c r="G4" s="208">
        <f>GEMSA!$D$17</f>
        <v>6.7500000000000004E-2</v>
      </c>
      <c r="H4" s="209">
        <v>0</v>
      </c>
      <c r="I4" s="209">
        <f>+C3</f>
        <v>100</v>
      </c>
      <c r="J4" s="209"/>
      <c r="K4" s="209"/>
      <c r="L4" s="203"/>
      <c r="M4" s="210">
        <f>-C3</f>
        <v>-100</v>
      </c>
      <c r="N4" s="27"/>
      <c r="O4" s="238">
        <f>(SUM(O5:O38))/100</f>
        <v>1.2105097416207318</v>
      </c>
    </row>
    <row r="5" spans="1:16" ht="12.75" x14ac:dyDescent="0.25">
      <c r="A5" s="204" t="s">
        <v>9</v>
      </c>
      <c r="B5" s="204"/>
      <c r="C5" s="205">
        <f>+EDATE(C4,12)</f>
        <v>44758</v>
      </c>
      <c r="D5" s="195">
        <f>'Clase XIV'!D5</f>
        <v>6</v>
      </c>
      <c r="E5" s="206">
        <v>44589</v>
      </c>
      <c r="F5" s="207">
        <f>E5-$E$3</f>
        <v>196</v>
      </c>
      <c r="G5" s="208">
        <f>GEMSA!$D$17</f>
        <v>6.7500000000000004E-2</v>
      </c>
      <c r="H5" s="209">
        <v>0</v>
      </c>
      <c r="I5" s="211">
        <f t="shared" ref="I5:I38" si="0">+I4+K5-J5</f>
        <v>103.62465753424658</v>
      </c>
      <c r="J5" s="211">
        <v>0</v>
      </c>
      <c r="K5" s="209">
        <f>+YEARFRAC(E4,E5,3)*(G5)*I4</f>
        <v>3.6246575342465759</v>
      </c>
      <c r="L5" s="203"/>
      <c r="M5" s="27">
        <f>J5+L5</f>
        <v>0</v>
      </c>
      <c r="N5" s="27"/>
      <c r="O5" s="239">
        <f t="shared" ref="O5:O16" si="1">+M5/((1+G5)^(F5/$F$38))</f>
        <v>0</v>
      </c>
      <c r="P5" s="237">
        <f>O5/100</f>
        <v>0</v>
      </c>
    </row>
    <row r="6" spans="1:16" ht="12.75" x14ac:dyDescent="0.25">
      <c r="A6" s="204" t="s">
        <v>14</v>
      </c>
      <c r="B6" s="204"/>
      <c r="C6" s="212">
        <f>GEMSA!D17</f>
        <v>6.7500000000000004E-2</v>
      </c>
      <c r="D6" s="195">
        <f>'Clase XIV'!D6</f>
        <v>12</v>
      </c>
      <c r="E6" s="206">
        <f>EDATE(E5,6)</f>
        <v>44770</v>
      </c>
      <c r="F6" s="207">
        <f t="shared" ref="F6:F9" si="2">E6-$E$3</f>
        <v>377</v>
      </c>
      <c r="G6" s="208">
        <f>GEMSA!$D$17</f>
        <v>6.7500000000000004E-2</v>
      </c>
      <c r="H6" s="209">
        <v>0</v>
      </c>
      <c r="I6" s="211">
        <f t="shared" si="0"/>
        <v>107.09324452993057</v>
      </c>
      <c r="J6" s="211">
        <v>0</v>
      </c>
      <c r="K6" s="209">
        <f t="shared" ref="K6:K9" si="3">+YEARFRAC(E5,E6,3)*(G6)*I5</f>
        <v>3.4685869956839936</v>
      </c>
      <c r="L6" s="203"/>
      <c r="M6" s="27">
        <f t="shared" ref="M6:M38" si="4">J6+L6</f>
        <v>0</v>
      </c>
      <c r="N6" s="27"/>
      <c r="O6" s="239">
        <f t="shared" si="1"/>
        <v>0</v>
      </c>
      <c r="P6" s="237">
        <f t="shared" ref="P6:P38" si="5">O6/100</f>
        <v>0</v>
      </c>
    </row>
    <row r="7" spans="1:16" ht="12.75" x14ac:dyDescent="0.25">
      <c r="A7" s="204"/>
      <c r="B7" s="204"/>
      <c r="C7" s="213"/>
      <c r="D7" s="195">
        <f>'Clase XIV'!D7</f>
        <v>18</v>
      </c>
      <c r="E7" s="206">
        <f>EDATE(E6,6)</f>
        <v>44954</v>
      </c>
      <c r="F7" s="207">
        <f t="shared" si="2"/>
        <v>561</v>
      </c>
      <c r="G7" s="208">
        <f>GEMSA!$D$17</f>
        <v>6.7500000000000004E-2</v>
      </c>
      <c r="H7" s="209">
        <v>0</v>
      </c>
      <c r="I7" s="211">
        <f t="shared" si="0"/>
        <v>110.73734890544219</v>
      </c>
      <c r="J7" s="211">
        <v>0</v>
      </c>
      <c r="K7" s="209">
        <f t="shared" si="3"/>
        <v>3.6441043755116107</v>
      </c>
      <c r="L7" s="203"/>
      <c r="M7" s="27">
        <f t="shared" si="4"/>
        <v>0</v>
      </c>
      <c r="N7" s="27"/>
      <c r="O7" s="239">
        <f t="shared" si="1"/>
        <v>0</v>
      </c>
      <c r="P7" s="237">
        <f t="shared" si="5"/>
        <v>0</v>
      </c>
    </row>
    <row r="8" spans="1:16" ht="12.75" x14ac:dyDescent="0.25">
      <c r="A8" s="204" t="s">
        <v>15</v>
      </c>
      <c r="B8" s="204"/>
      <c r="C8" s="213">
        <f>GEMSA!D17</f>
        <v>6.7500000000000004E-2</v>
      </c>
      <c r="D8" s="195">
        <f>'Clase XIV'!D8</f>
        <v>24</v>
      </c>
      <c r="E8" s="206">
        <f t="shared" ref="E8" si="6">EDATE(E7,6)</f>
        <v>45135</v>
      </c>
      <c r="F8" s="207">
        <f t="shared" si="2"/>
        <v>742</v>
      </c>
      <c r="G8" s="208">
        <f>GEMSA!$D$17</f>
        <v>6.7500000000000004E-2</v>
      </c>
      <c r="H8" s="209">
        <v>0</v>
      </c>
      <c r="I8" s="211">
        <f t="shared" si="0"/>
        <v>114.44401619380449</v>
      </c>
      <c r="J8" s="211">
        <v>0</v>
      </c>
      <c r="K8" s="209">
        <f t="shared" si="3"/>
        <v>3.7066672883623011</v>
      </c>
      <c r="L8" s="203"/>
      <c r="M8" s="27">
        <f t="shared" si="4"/>
        <v>0</v>
      </c>
      <c r="N8" s="27"/>
      <c r="O8" s="239">
        <f t="shared" si="1"/>
        <v>0</v>
      </c>
      <c r="P8" s="237">
        <f t="shared" si="5"/>
        <v>0</v>
      </c>
    </row>
    <row r="9" spans="1:16" ht="12.75" x14ac:dyDescent="0.25">
      <c r="D9" s="195">
        <f>'Clase XIV'!D9</f>
        <v>31</v>
      </c>
      <c r="E9" s="206">
        <f>EDATE(E8,(D9-D8))</f>
        <v>45350</v>
      </c>
      <c r="F9" s="207">
        <f t="shared" si="2"/>
        <v>957</v>
      </c>
      <c r="G9" s="208">
        <f>GEMSA!$D$17</f>
        <v>6.7500000000000004E-2</v>
      </c>
      <c r="H9" s="209">
        <v>0</v>
      </c>
      <c r="I9" s="211">
        <f t="shared" si="0"/>
        <v>118.99434163219514</v>
      </c>
      <c r="J9" s="211">
        <v>0</v>
      </c>
      <c r="K9" s="209">
        <f t="shared" si="3"/>
        <v>4.5503254383906517</v>
      </c>
      <c r="L9" s="214"/>
      <c r="M9" s="27">
        <f t="shared" si="4"/>
        <v>0</v>
      </c>
      <c r="N9" s="27"/>
      <c r="O9" s="239">
        <f t="shared" si="1"/>
        <v>0</v>
      </c>
      <c r="P9" s="237">
        <f t="shared" si="5"/>
        <v>0</v>
      </c>
    </row>
    <row r="10" spans="1:16" ht="12.75" x14ac:dyDescent="0.25">
      <c r="A10" s="213" t="s">
        <v>38</v>
      </c>
      <c r="B10" s="213"/>
      <c r="C10" s="212">
        <f>NOMINAL(C11,'Clase XIV'!B24)</f>
        <v>6.6863245759153145E-2</v>
      </c>
      <c r="D10" s="215">
        <v>32</v>
      </c>
      <c r="E10" s="216">
        <v>45379</v>
      </c>
      <c r="F10" s="217">
        <f t="shared" ref="F10:F38" si="7">E10-$E$3</f>
        <v>986</v>
      </c>
      <c r="G10" s="218">
        <f>GEMSA!$D$17</f>
        <v>6.7500000000000004E-2</v>
      </c>
      <c r="H10" s="219">
        <v>4.72</v>
      </c>
      <c r="I10" s="220">
        <f>+I9+K10-J10</f>
        <v>113.37780870715554</v>
      </c>
      <c r="J10" s="220">
        <f>H10/100*$I$9</f>
        <v>5.6165329250396105</v>
      </c>
      <c r="K10" s="219"/>
      <c r="L10" s="221">
        <f t="shared" ref="L10:L38" si="8">+YEARFRAC(E9,E10,3)*(G10)*I9</f>
        <v>0.63816828423293703</v>
      </c>
      <c r="M10" s="174">
        <f t="shared" si="4"/>
        <v>6.2547012092725476</v>
      </c>
      <c r="N10" s="174"/>
      <c r="O10" s="240">
        <f t="shared" si="1"/>
        <v>6.0393269446818056</v>
      </c>
      <c r="P10" s="241">
        <f t="shared" si="5"/>
        <v>6.0393269446818054E-2</v>
      </c>
    </row>
    <row r="11" spans="1:16" ht="12.75" x14ac:dyDescent="0.25">
      <c r="A11" s="23" t="s">
        <v>16</v>
      </c>
      <c r="C11" s="212">
        <f>XIRR(M4:M38,E4:E38)</f>
        <v>6.8852213025093076E-2</v>
      </c>
      <c r="D11" s="195">
        <v>33</v>
      </c>
      <c r="E11" s="206">
        <v>45411</v>
      </c>
      <c r="F11" s="207">
        <f t="shared" si="7"/>
        <v>1018</v>
      </c>
      <c r="G11" s="208">
        <f>GEMSA!$D$17</f>
        <v>6.7500000000000004E-2</v>
      </c>
      <c r="H11" s="209">
        <v>4.59</v>
      </c>
      <c r="I11" s="211">
        <f t="shared" si="0"/>
        <v>107.91596842623778</v>
      </c>
      <c r="J11" s="211">
        <f t="shared" ref="J11:J38" si="9">H11/100*$I$9</f>
        <v>5.4618402809177571</v>
      </c>
      <c r="K11" s="209"/>
      <c r="L11" s="203">
        <f t="shared" si="8"/>
        <v>0.67094812823960548</v>
      </c>
      <c r="M11" s="27">
        <f t="shared" si="4"/>
        <v>6.1327884091573628</v>
      </c>
      <c r="N11" s="27"/>
      <c r="O11" s="239">
        <f t="shared" si="1"/>
        <v>5.9148816992123461</v>
      </c>
      <c r="P11" s="237">
        <f t="shared" si="5"/>
        <v>5.914881699212346E-2</v>
      </c>
    </row>
    <row r="12" spans="1:16" ht="12.75" x14ac:dyDescent="0.25">
      <c r="A12" s="204"/>
      <c r="B12" s="204"/>
      <c r="C12" s="222"/>
      <c r="D12" s="195">
        <v>34</v>
      </c>
      <c r="E12" s="206">
        <v>45440</v>
      </c>
      <c r="F12" s="207">
        <f t="shared" si="7"/>
        <v>1047</v>
      </c>
      <c r="G12" s="208">
        <f>GEMSA!$D$17</f>
        <v>6.7500000000000004E-2</v>
      </c>
      <c r="H12" s="209">
        <v>4.7</v>
      </c>
      <c r="I12" s="211">
        <f t="shared" si="0"/>
        <v>102.32323436952461</v>
      </c>
      <c r="J12" s="211">
        <f t="shared" si="9"/>
        <v>5.592734056713172</v>
      </c>
      <c r="K12" s="209"/>
      <c r="L12" s="203">
        <f t="shared" si="8"/>
        <v>0.57875481697085063</v>
      </c>
      <c r="M12" s="27">
        <f t="shared" si="4"/>
        <v>6.171488873684023</v>
      </c>
      <c r="N12" s="27"/>
      <c r="O12" s="239">
        <f t="shared" si="1"/>
        <v>5.9460758261619331</v>
      </c>
      <c r="P12" s="237">
        <f t="shared" si="5"/>
        <v>5.9460758261619333E-2</v>
      </c>
    </row>
    <row r="13" spans="1:16" ht="12.75" x14ac:dyDescent="0.25">
      <c r="A13" s="223" t="s">
        <v>17</v>
      </c>
      <c r="B13" s="223"/>
      <c r="C13" s="222">
        <f>+SUMPRODUCT(P5:P38,F5:F38)/O4/365</f>
        <v>3.5727792059753196</v>
      </c>
      <c r="D13" s="195">
        <v>35</v>
      </c>
      <c r="E13" s="206">
        <v>45471</v>
      </c>
      <c r="F13" s="207">
        <f t="shared" si="7"/>
        <v>1078</v>
      </c>
      <c r="G13" s="208">
        <f>GEMSA!$D$17</f>
        <v>6.7500000000000004E-2</v>
      </c>
      <c r="H13" s="209">
        <v>4.6500000000000004</v>
      </c>
      <c r="I13" s="211">
        <f t="shared" si="0"/>
        <v>96.789997483627531</v>
      </c>
      <c r="J13" s="211">
        <f t="shared" si="9"/>
        <v>5.5332368858970753</v>
      </c>
      <c r="K13" s="209"/>
      <c r="L13" s="203">
        <f t="shared" si="8"/>
        <v>0.58660648744720623</v>
      </c>
      <c r="M13" s="27">
        <f t="shared" si="4"/>
        <v>6.1198433733442812</v>
      </c>
      <c r="N13" s="27"/>
      <c r="O13" s="239">
        <f t="shared" si="1"/>
        <v>5.889824345527904</v>
      </c>
      <c r="P13" s="237">
        <f t="shared" si="5"/>
        <v>5.889824345527904E-2</v>
      </c>
    </row>
    <row r="14" spans="1:16" ht="12.75" x14ac:dyDescent="0.25">
      <c r="A14" s="223" t="s">
        <v>18</v>
      </c>
      <c r="B14" s="223">
        <f>ROUND(C14*365,0)</f>
        <v>1306</v>
      </c>
      <c r="C14" s="222">
        <f>+SUMPRODUCT(F5:F38,M5:M38)/M39/365</f>
        <v>3.5774114274280491</v>
      </c>
      <c r="D14" s="195">
        <v>36</v>
      </c>
      <c r="E14" s="206">
        <v>45502</v>
      </c>
      <c r="F14" s="207">
        <f t="shared" si="7"/>
        <v>1109</v>
      </c>
      <c r="G14" s="208">
        <f>GEMSA!$D$17</f>
        <v>6.7500000000000004E-2</v>
      </c>
      <c r="H14" s="209">
        <v>4.76</v>
      </c>
      <c r="I14" s="211">
        <f t="shared" si="0"/>
        <v>91.125866821935048</v>
      </c>
      <c r="J14" s="211">
        <f t="shared" si="9"/>
        <v>5.6641306616924885</v>
      </c>
      <c r="K14" s="209"/>
      <c r="L14" s="203">
        <f t="shared" si="8"/>
        <v>0.55488512256024825</v>
      </c>
      <c r="M14" s="27">
        <f t="shared" si="4"/>
        <v>6.2190157842527363</v>
      </c>
      <c r="N14" s="27"/>
      <c r="O14" s="239">
        <f t="shared" si="1"/>
        <v>5.9786790135537062</v>
      </c>
      <c r="P14" s="237">
        <f t="shared" si="5"/>
        <v>5.978679013553706E-2</v>
      </c>
    </row>
    <row r="15" spans="1:16" ht="12.75" x14ac:dyDescent="0.25">
      <c r="C15" s="224"/>
      <c r="D15" s="195">
        <v>37</v>
      </c>
      <c r="E15" s="206">
        <v>45532</v>
      </c>
      <c r="F15" s="207">
        <f t="shared" si="7"/>
        <v>1139</v>
      </c>
      <c r="G15" s="208">
        <f>GEMSA!$D$17</f>
        <v>6.7500000000000004E-2</v>
      </c>
      <c r="H15" s="209">
        <v>4.72</v>
      </c>
      <c r="I15" s="211">
        <f t="shared" si="0"/>
        <v>85.509333896895441</v>
      </c>
      <c r="J15" s="211">
        <f t="shared" si="9"/>
        <v>5.6165329250396105</v>
      </c>
      <c r="K15" s="209"/>
      <c r="L15" s="203">
        <f t="shared" si="8"/>
        <v>0.5055613159299136</v>
      </c>
      <c r="M15" s="27">
        <f t="shared" si="4"/>
        <v>6.122094240969524</v>
      </c>
      <c r="N15" s="27"/>
      <c r="O15" s="239">
        <f t="shared" si="1"/>
        <v>5.8792315623790268</v>
      </c>
      <c r="P15" s="237">
        <f t="shared" si="5"/>
        <v>5.8792315623790267E-2</v>
      </c>
    </row>
    <row r="16" spans="1:16" ht="12.75" x14ac:dyDescent="0.25">
      <c r="D16" s="195">
        <v>38</v>
      </c>
      <c r="E16" s="206">
        <v>45565</v>
      </c>
      <c r="F16" s="207">
        <f t="shared" si="7"/>
        <v>1172</v>
      </c>
      <c r="G16" s="208">
        <f>GEMSA!$D$17</f>
        <v>6.7500000000000004E-2</v>
      </c>
      <c r="H16" s="209">
        <v>4.75</v>
      </c>
      <c r="I16" s="211">
        <f t="shared" si="0"/>
        <v>79.857102669366171</v>
      </c>
      <c r="J16" s="211">
        <f t="shared" si="9"/>
        <v>5.6522312275292697</v>
      </c>
      <c r="K16" s="209"/>
      <c r="L16" s="203">
        <f t="shared" si="8"/>
        <v>0.52184120891872499</v>
      </c>
      <c r="M16" s="27">
        <f t="shared" si="4"/>
        <v>6.1740724364479949</v>
      </c>
      <c r="N16" s="27"/>
      <c r="O16" s="239">
        <f t="shared" si="1"/>
        <v>5.922198367437379</v>
      </c>
      <c r="P16" s="237">
        <f t="shared" si="5"/>
        <v>5.9221983674373792E-2</v>
      </c>
    </row>
    <row r="17" spans="1:16" ht="12.75" x14ac:dyDescent="0.25">
      <c r="D17" s="195">
        <v>39</v>
      </c>
      <c r="E17" s="206">
        <v>45593</v>
      </c>
      <c r="F17" s="207">
        <f t="shared" si="7"/>
        <v>1200</v>
      </c>
      <c r="G17" s="208">
        <f>GEMSA!$D$17</f>
        <v>6.7500000000000004E-2</v>
      </c>
      <c r="H17" s="209">
        <v>4.8499999999999996</v>
      </c>
      <c r="I17" s="211">
        <f t="shared" si="0"/>
        <v>74.085877100204712</v>
      </c>
      <c r="J17" s="211">
        <f t="shared" si="9"/>
        <v>5.771225569161464</v>
      </c>
      <c r="K17" s="209"/>
      <c r="L17" s="203">
        <f t="shared" si="8"/>
        <v>0.41350664121945774</v>
      </c>
      <c r="M17" s="27">
        <f t="shared" si="4"/>
        <v>6.1847322103809219</v>
      </c>
      <c r="N17" s="27"/>
      <c r="O17" s="239">
        <f t="shared" ref="O17:O38" si="10">+M17/((1+G17)^(F17/$F$38))</f>
        <v>5.9265230101160453</v>
      </c>
      <c r="P17" s="237">
        <f t="shared" si="5"/>
        <v>5.926523010116045E-2</v>
      </c>
    </row>
    <row r="18" spans="1:16" ht="12.75" x14ac:dyDescent="0.25">
      <c r="A18" s="28"/>
      <c r="B18" s="28"/>
      <c r="C18" s="28"/>
      <c r="D18" s="195">
        <v>40</v>
      </c>
      <c r="E18" s="206">
        <v>45624</v>
      </c>
      <c r="F18" s="207">
        <f t="shared" si="7"/>
        <v>1231</v>
      </c>
      <c r="G18" s="208">
        <f>GEMSA!$D$17</f>
        <v>6.7500000000000004E-2</v>
      </c>
      <c r="H18" s="209">
        <v>4.8099999999999996</v>
      </c>
      <c r="I18" s="211">
        <f t="shared" si="0"/>
        <v>68.362249267696129</v>
      </c>
      <c r="J18" s="211">
        <f t="shared" si="9"/>
        <v>5.7236278325085861</v>
      </c>
      <c r="K18" s="209"/>
      <c r="L18" s="203">
        <f t="shared" si="8"/>
        <v>0.4247251995402147</v>
      </c>
      <c r="M18" s="27">
        <f t="shared" si="4"/>
        <v>6.1483530320488011</v>
      </c>
      <c r="N18" s="27"/>
      <c r="O18" s="239">
        <f t="shared" si="10"/>
        <v>5.8851754398171687</v>
      </c>
      <c r="P18" s="237">
        <f t="shared" si="5"/>
        <v>5.8851754398171689E-2</v>
      </c>
    </row>
    <row r="19" spans="1:16" ht="12.75" x14ac:dyDescent="0.25">
      <c r="D19" s="195">
        <v>41</v>
      </c>
      <c r="E19" s="206">
        <v>45656</v>
      </c>
      <c r="F19" s="207">
        <f t="shared" si="7"/>
        <v>1263</v>
      </c>
      <c r="G19" s="208">
        <f>GEMSA!$D$17</f>
        <v>6.7500000000000004E-2</v>
      </c>
      <c r="H19" s="209">
        <v>4.92</v>
      </c>
      <c r="I19" s="211">
        <f t="shared" si="0"/>
        <v>62.507727659392131</v>
      </c>
      <c r="J19" s="211">
        <f t="shared" si="9"/>
        <v>5.854521608304001</v>
      </c>
      <c r="K19" s="209"/>
      <c r="L19" s="203">
        <f t="shared" si="8"/>
        <v>0.40455468059787303</v>
      </c>
      <c r="M19" s="27">
        <f t="shared" si="4"/>
        <v>6.2590762889018743</v>
      </c>
      <c r="N19" s="27"/>
      <c r="O19" s="239">
        <f t="shared" si="10"/>
        <v>5.9843498011875971</v>
      </c>
      <c r="P19" s="237">
        <f t="shared" si="5"/>
        <v>5.9843498011875967E-2</v>
      </c>
    </row>
    <row r="20" spans="1:16" ht="12.75" x14ac:dyDescent="0.25">
      <c r="D20" s="195">
        <v>42</v>
      </c>
      <c r="E20" s="206">
        <v>45685</v>
      </c>
      <c r="F20" s="207">
        <f t="shared" si="7"/>
        <v>1292</v>
      </c>
      <c r="G20" s="208">
        <f>GEMSA!$D$17</f>
        <v>6.7500000000000004E-2</v>
      </c>
      <c r="H20" s="209">
        <v>4.88</v>
      </c>
      <c r="I20" s="211">
        <f t="shared" si="0"/>
        <v>56.700803787741009</v>
      </c>
      <c r="J20" s="211">
        <f t="shared" si="9"/>
        <v>5.8069238716511222</v>
      </c>
      <c r="K20" s="209"/>
      <c r="L20" s="203">
        <f t="shared" si="8"/>
        <v>0.33522979970756195</v>
      </c>
      <c r="M20" s="27">
        <f t="shared" si="4"/>
        <v>6.1421536713586846</v>
      </c>
      <c r="N20" s="27"/>
      <c r="O20" s="239">
        <f t="shared" si="10"/>
        <v>5.866509998112563</v>
      </c>
      <c r="P20" s="237">
        <f t="shared" si="5"/>
        <v>5.866509998112563E-2</v>
      </c>
    </row>
    <row r="21" spans="1:16" ht="12.75" x14ac:dyDescent="0.25">
      <c r="D21" s="195">
        <v>43</v>
      </c>
      <c r="E21" s="206">
        <v>45716</v>
      </c>
      <c r="F21" s="207">
        <f t="shared" si="7"/>
        <v>1323</v>
      </c>
      <c r="G21" s="208">
        <f>GEMSA!$D$17</f>
        <v>6.7500000000000004E-2</v>
      </c>
      <c r="H21" s="209">
        <v>4.91</v>
      </c>
      <c r="I21" s="211">
        <f t="shared" si="0"/>
        <v>50.858181613600223</v>
      </c>
      <c r="J21" s="211">
        <f t="shared" si="9"/>
        <v>5.8426221741407822</v>
      </c>
      <c r="K21" s="209"/>
      <c r="L21" s="203">
        <f t="shared" si="8"/>
        <v>0.32505871760506322</v>
      </c>
      <c r="M21" s="27">
        <f t="shared" si="4"/>
        <v>6.1676808917458459</v>
      </c>
      <c r="N21" s="27"/>
      <c r="O21" s="239">
        <f t="shared" si="10"/>
        <v>5.8844052702208511</v>
      </c>
      <c r="P21" s="237">
        <f t="shared" si="5"/>
        <v>5.8844052702208514E-2</v>
      </c>
    </row>
    <row r="22" spans="1:16" ht="15" customHeight="1" x14ac:dyDescent="0.25">
      <c r="D22" s="195">
        <v>44</v>
      </c>
      <c r="E22" s="206">
        <v>45744</v>
      </c>
      <c r="F22" s="207">
        <f t="shared" si="7"/>
        <v>1351</v>
      </c>
      <c r="G22" s="208">
        <f>GEMSA!$D$17</f>
        <v>6.7500000000000004E-2</v>
      </c>
      <c r="H22" s="209">
        <v>5.15</v>
      </c>
      <c r="I22" s="211">
        <f t="shared" si="0"/>
        <v>44.729973019542172</v>
      </c>
      <c r="J22" s="211">
        <f t="shared" si="9"/>
        <v>6.1282085940580506</v>
      </c>
      <c r="K22" s="209"/>
      <c r="L22" s="203">
        <f t="shared" si="8"/>
        <v>0.26334784451973819</v>
      </c>
      <c r="M22" s="27">
        <f t="shared" si="4"/>
        <v>6.3915564385777888</v>
      </c>
      <c r="N22" s="27"/>
      <c r="O22" s="239">
        <f t="shared" si="10"/>
        <v>6.0919334911183585</v>
      </c>
      <c r="P22" s="237">
        <f t="shared" si="5"/>
        <v>6.0919334911183586E-2</v>
      </c>
    </row>
    <row r="23" spans="1:16" ht="15" customHeight="1" x14ac:dyDescent="0.25">
      <c r="D23" s="195">
        <v>45</v>
      </c>
      <c r="E23" s="206">
        <v>45775</v>
      </c>
      <c r="F23" s="207">
        <f t="shared" si="7"/>
        <v>1382</v>
      </c>
      <c r="G23" s="208">
        <f>GEMSA!$D$17</f>
        <v>6.7500000000000004E-2</v>
      </c>
      <c r="H23" s="209">
        <v>4.9800000000000004</v>
      </c>
      <c r="I23" s="211">
        <f t="shared" si="0"/>
        <v>38.804054806258854</v>
      </c>
      <c r="J23" s="211">
        <f t="shared" si="9"/>
        <v>5.9259182132833184</v>
      </c>
      <c r="K23" s="209"/>
      <c r="L23" s="203">
        <f t="shared" si="8"/>
        <v>0.25643142066682739</v>
      </c>
      <c r="M23" s="27">
        <f t="shared" si="4"/>
        <v>6.182349633950146</v>
      </c>
      <c r="N23" s="27"/>
      <c r="O23" s="239">
        <f t="shared" si="10"/>
        <v>5.8860457066973337</v>
      </c>
      <c r="P23" s="237">
        <f t="shared" si="5"/>
        <v>5.8860457066973335E-2</v>
      </c>
    </row>
    <row r="24" spans="1:16" ht="15" customHeight="1" x14ac:dyDescent="0.25">
      <c r="D24" s="195">
        <v>46</v>
      </c>
      <c r="E24" s="206">
        <v>45805</v>
      </c>
      <c r="F24" s="207">
        <f t="shared" si="7"/>
        <v>1412</v>
      </c>
      <c r="G24" s="208">
        <f>GEMSA!$D$17</f>
        <v>6.7500000000000004E-2</v>
      </c>
      <c r="H24" s="209">
        <v>5.08</v>
      </c>
      <c r="I24" s="211">
        <f t="shared" si="0"/>
        <v>32.759142251343341</v>
      </c>
      <c r="J24" s="211">
        <f t="shared" si="9"/>
        <v>6.0449125549155127</v>
      </c>
      <c r="K24" s="209"/>
      <c r="L24" s="203">
        <f t="shared" si="8"/>
        <v>0.2152827698155457</v>
      </c>
      <c r="M24" s="27">
        <f t="shared" si="4"/>
        <v>6.2601953247310584</v>
      </c>
      <c r="N24" s="27"/>
      <c r="O24" s="239">
        <f t="shared" si="10"/>
        <v>5.9538094163194728</v>
      </c>
      <c r="P24" s="237">
        <f t="shared" si="5"/>
        <v>5.9538094163194728E-2</v>
      </c>
    </row>
    <row r="25" spans="1:16" ht="15" customHeight="1" x14ac:dyDescent="0.25">
      <c r="D25" s="195">
        <v>47</v>
      </c>
      <c r="E25" s="206">
        <v>45838</v>
      </c>
      <c r="F25" s="207">
        <f t="shared" si="7"/>
        <v>1445</v>
      </c>
      <c r="G25" s="208">
        <f>GEMSA!$D$17</f>
        <v>6.7500000000000004E-2</v>
      </c>
      <c r="H25" s="209">
        <v>5.05</v>
      </c>
      <c r="I25" s="211">
        <f t="shared" si="0"/>
        <v>26.749927998917485</v>
      </c>
      <c r="J25" s="211">
        <f t="shared" si="9"/>
        <v>6.0092142524258545</v>
      </c>
      <c r="K25" s="209"/>
      <c r="L25" s="203">
        <f t="shared" si="8"/>
        <v>0.19992051880785564</v>
      </c>
      <c r="M25" s="27">
        <f t="shared" si="4"/>
        <v>6.2091347712337104</v>
      </c>
      <c r="N25" s="27"/>
      <c r="O25" s="239">
        <f t="shared" si="10"/>
        <v>5.8983264541467504</v>
      </c>
      <c r="P25" s="237">
        <f t="shared" si="5"/>
        <v>5.8983264541467503E-2</v>
      </c>
    </row>
    <row r="26" spans="1:16" ht="15" customHeight="1" x14ac:dyDescent="0.25">
      <c r="D26" s="195">
        <v>48</v>
      </c>
      <c r="E26" s="206">
        <v>45866</v>
      </c>
      <c r="F26" s="207">
        <f t="shared" si="7"/>
        <v>1473</v>
      </c>
      <c r="G26" s="208">
        <f>GEMSA!$D$17</f>
        <v>6.7500000000000004E-2</v>
      </c>
      <c r="H26" s="209">
        <v>5.15</v>
      </c>
      <c r="I26" s="211">
        <f t="shared" si="0"/>
        <v>20.621719404859434</v>
      </c>
      <c r="J26" s="211">
        <f t="shared" si="9"/>
        <v>6.1282085940580506</v>
      </c>
      <c r="K26" s="209"/>
      <c r="L26" s="203">
        <f t="shared" si="8"/>
        <v>0.13851332580261386</v>
      </c>
      <c r="M26" s="27">
        <f t="shared" si="4"/>
        <v>6.2667219198606645</v>
      </c>
      <c r="N26" s="27"/>
      <c r="O26" s="239">
        <f t="shared" si="10"/>
        <v>5.9471102276374284</v>
      </c>
      <c r="P26" s="237">
        <f t="shared" si="5"/>
        <v>5.9471102276374282E-2</v>
      </c>
    </row>
    <row r="27" spans="1:16" ht="15" customHeight="1" x14ac:dyDescent="0.25">
      <c r="D27" s="195">
        <v>49</v>
      </c>
      <c r="E27" s="206">
        <v>45897</v>
      </c>
      <c r="F27" s="207">
        <f t="shared" si="7"/>
        <v>1504</v>
      </c>
      <c r="G27" s="208">
        <f>GEMSA!$D$17</f>
        <v>6.7500000000000004E-2</v>
      </c>
      <c r="H27" s="209">
        <v>1.38</v>
      </c>
      <c r="I27" s="211">
        <f t="shared" si="0"/>
        <v>18.979597490335141</v>
      </c>
      <c r="J27" s="211">
        <f t="shared" si="9"/>
        <v>1.6421219145242929</v>
      </c>
      <c r="K27" s="209"/>
      <c r="L27" s="203">
        <f t="shared" si="8"/>
        <v>0.11822177494429691</v>
      </c>
      <c r="M27" s="27">
        <f t="shared" si="4"/>
        <v>1.7603436894685898</v>
      </c>
      <c r="N27" s="27"/>
      <c r="O27" s="239">
        <f t="shared" si="10"/>
        <v>1.668724241135451</v>
      </c>
      <c r="P27" s="237">
        <f t="shared" si="5"/>
        <v>1.6687242411354511E-2</v>
      </c>
    </row>
    <row r="28" spans="1:16" ht="15" customHeight="1" x14ac:dyDescent="0.25">
      <c r="D28" s="195">
        <v>50</v>
      </c>
      <c r="E28" s="206">
        <v>45929</v>
      </c>
      <c r="F28" s="207">
        <f t="shared" si="7"/>
        <v>1536</v>
      </c>
      <c r="G28" s="208">
        <f>GEMSA!$D$17</f>
        <v>6.7500000000000004E-2</v>
      </c>
      <c r="H28" s="209">
        <v>1.39</v>
      </c>
      <c r="I28" s="211">
        <f t="shared" si="0"/>
        <v>17.32557614164763</v>
      </c>
      <c r="J28" s="211">
        <f t="shared" si="9"/>
        <v>1.6540213486875124</v>
      </c>
      <c r="K28" s="209"/>
      <c r="L28" s="203">
        <f t="shared" si="8"/>
        <v>0.11231761802499701</v>
      </c>
      <c r="M28" s="27">
        <f t="shared" si="4"/>
        <v>1.7663389667125093</v>
      </c>
      <c r="N28" s="27"/>
      <c r="O28" s="239">
        <f t="shared" si="10"/>
        <v>1.6725043873471097</v>
      </c>
      <c r="P28" s="237">
        <f t="shared" si="5"/>
        <v>1.6725043873471096E-2</v>
      </c>
    </row>
    <row r="29" spans="1:16" ht="15" customHeight="1" x14ac:dyDescent="0.25">
      <c r="D29" s="195">
        <v>51</v>
      </c>
      <c r="E29" s="206">
        <v>45958</v>
      </c>
      <c r="F29" s="207">
        <f t="shared" si="7"/>
        <v>1565</v>
      </c>
      <c r="G29" s="208">
        <f>GEMSA!$D$17</f>
        <v>6.7500000000000004E-2</v>
      </c>
      <c r="H29" s="209">
        <v>1.42</v>
      </c>
      <c r="I29" s="211">
        <f t="shared" si="0"/>
        <v>15.635856490470459</v>
      </c>
      <c r="J29" s="211">
        <f t="shared" si="9"/>
        <v>1.689719651177171</v>
      </c>
      <c r="K29" s="209"/>
      <c r="L29" s="203">
        <f t="shared" si="8"/>
        <v>9.2917302184315737E-2</v>
      </c>
      <c r="M29" s="27">
        <f t="shared" si="4"/>
        <v>1.7826369533614868</v>
      </c>
      <c r="N29" s="27"/>
      <c r="O29" s="239">
        <f t="shared" si="10"/>
        <v>1.6861978523092662</v>
      </c>
      <c r="P29" s="237">
        <f t="shared" si="5"/>
        <v>1.6861978523092663E-2</v>
      </c>
    </row>
    <row r="30" spans="1:16" ht="15" customHeight="1" x14ac:dyDescent="0.25">
      <c r="D30" s="195">
        <v>52</v>
      </c>
      <c r="E30" s="206">
        <v>45989</v>
      </c>
      <c r="F30" s="207">
        <f t="shared" si="7"/>
        <v>1596</v>
      </c>
      <c r="G30" s="208">
        <f>GEMSA!$D$17</f>
        <v>6.7500000000000004E-2</v>
      </c>
      <c r="H30" s="209">
        <v>1.41</v>
      </c>
      <c r="I30" s="211">
        <f t="shared" si="0"/>
        <v>13.958036273456507</v>
      </c>
      <c r="J30" s="211">
        <f t="shared" si="9"/>
        <v>1.6778202170139516</v>
      </c>
      <c r="K30" s="209"/>
      <c r="L30" s="203">
        <f t="shared" si="8"/>
        <v>8.963843755153271E-2</v>
      </c>
      <c r="M30" s="27">
        <f t="shared" si="4"/>
        <v>1.7674586545654842</v>
      </c>
      <c r="N30" s="27"/>
      <c r="O30" s="239">
        <f t="shared" si="10"/>
        <v>1.669999852764374</v>
      </c>
      <c r="P30" s="237">
        <f t="shared" si="5"/>
        <v>1.6699998527643742E-2</v>
      </c>
    </row>
    <row r="31" spans="1:16" ht="15" customHeight="1" x14ac:dyDescent="0.25">
      <c r="D31" s="195">
        <v>53</v>
      </c>
      <c r="E31" s="206">
        <v>46020</v>
      </c>
      <c r="F31" s="207">
        <f t="shared" si="7"/>
        <v>1627</v>
      </c>
      <c r="G31" s="208">
        <f>GEMSA!$D$17</f>
        <v>6.7500000000000004E-2</v>
      </c>
      <c r="H31" s="209">
        <v>1.44</v>
      </c>
      <c r="I31" s="211">
        <f t="shared" si="0"/>
        <v>12.244517753952897</v>
      </c>
      <c r="J31" s="211">
        <f t="shared" si="9"/>
        <v>1.71351851950361</v>
      </c>
      <c r="K31" s="209"/>
      <c r="L31" s="203">
        <f t="shared" si="8"/>
        <v>8.0019701101939025E-2</v>
      </c>
      <c r="M31" s="27">
        <f t="shared" si="4"/>
        <v>1.793538220605549</v>
      </c>
      <c r="N31" s="27"/>
      <c r="O31" s="239">
        <f t="shared" si="10"/>
        <v>1.6927754359643097</v>
      </c>
      <c r="P31" s="237">
        <f t="shared" si="5"/>
        <v>1.6927754359643096E-2</v>
      </c>
    </row>
    <row r="32" spans="1:16" ht="15" customHeight="1" x14ac:dyDescent="0.25">
      <c r="D32" s="195">
        <v>54</v>
      </c>
      <c r="E32" s="206">
        <v>46050</v>
      </c>
      <c r="F32" s="207">
        <f t="shared" si="7"/>
        <v>1657</v>
      </c>
      <c r="G32" s="208">
        <f>GEMSA!$D$17</f>
        <v>6.7500000000000004E-2</v>
      </c>
      <c r="H32" s="209">
        <v>1.43</v>
      </c>
      <c r="I32" s="211">
        <f t="shared" si="0"/>
        <v>10.542898668612507</v>
      </c>
      <c r="J32" s="211">
        <f t="shared" si="9"/>
        <v>1.7016190853403905</v>
      </c>
      <c r="K32" s="209"/>
      <c r="L32" s="203">
        <f t="shared" si="8"/>
        <v>6.7931913566451008E-2</v>
      </c>
      <c r="M32" s="27">
        <f t="shared" si="4"/>
        <v>1.7695509989068414</v>
      </c>
      <c r="N32" s="27"/>
      <c r="O32" s="239">
        <f t="shared" si="10"/>
        <v>1.6683561738337769</v>
      </c>
      <c r="P32" s="237">
        <f t="shared" si="5"/>
        <v>1.6683561738337769E-2</v>
      </c>
    </row>
    <row r="33" spans="4:17" ht="15" customHeight="1" x14ac:dyDescent="0.25">
      <c r="D33" s="195">
        <v>55</v>
      </c>
      <c r="E33" s="206">
        <v>46083</v>
      </c>
      <c r="F33" s="207">
        <f t="shared" si="7"/>
        <v>1690</v>
      </c>
      <c r="G33" s="208">
        <f>GEMSA!$D$17</f>
        <v>6.7500000000000004E-2</v>
      </c>
      <c r="H33" s="209">
        <v>1.44</v>
      </c>
      <c r="I33" s="211">
        <f t="shared" si="0"/>
        <v>8.8293801491088963</v>
      </c>
      <c r="J33" s="211">
        <f t="shared" si="9"/>
        <v>1.71351851950361</v>
      </c>
      <c r="K33" s="209"/>
      <c r="L33" s="203">
        <f t="shared" si="8"/>
        <v>6.4340566532422913E-2</v>
      </c>
      <c r="M33" s="27">
        <f t="shared" si="4"/>
        <v>1.7778590860360328</v>
      </c>
      <c r="N33" s="27"/>
      <c r="O33" s="239">
        <f t="shared" si="10"/>
        <v>1.6742245246700369</v>
      </c>
      <c r="P33" s="237">
        <f t="shared" si="5"/>
        <v>1.6742245246700368E-2</v>
      </c>
    </row>
    <row r="34" spans="4:17" ht="15" customHeight="1" x14ac:dyDescent="0.25">
      <c r="D34" s="195">
        <v>56</v>
      </c>
      <c r="E34" s="206">
        <v>46111</v>
      </c>
      <c r="F34" s="207">
        <f t="shared" si="7"/>
        <v>1718</v>
      </c>
      <c r="G34" s="208">
        <f>GEMSA!$D$17</f>
        <v>6.7500000000000004E-2</v>
      </c>
      <c r="H34" s="209">
        <v>1.49</v>
      </c>
      <c r="I34" s="211">
        <f t="shared" si="0"/>
        <v>7.0563644587891883</v>
      </c>
      <c r="J34" s="211">
        <f t="shared" si="9"/>
        <v>1.7730156903197076</v>
      </c>
      <c r="K34" s="209"/>
      <c r="L34" s="203">
        <f t="shared" si="8"/>
        <v>4.5719256114563879E-2</v>
      </c>
      <c r="M34" s="27">
        <f t="shared" si="4"/>
        <v>1.8187349464342715</v>
      </c>
      <c r="N34" s="27"/>
      <c r="O34" s="239">
        <f t="shared" si="10"/>
        <v>1.7110142263659565</v>
      </c>
      <c r="P34" s="237">
        <f t="shared" si="5"/>
        <v>1.7110142263659565E-2</v>
      </c>
    </row>
    <row r="35" spans="4:17" ht="15" customHeight="1" x14ac:dyDescent="0.25">
      <c r="D35" s="195">
        <v>57</v>
      </c>
      <c r="E35" s="206">
        <v>46140</v>
      </c>
      <c r="F35" s="207">
        <f t="shared" si="7"/>
        <v>1747</v>
      </c>
      <c r="G35" s="208">
        <f>GEMSA!$D$17</f>
        <v>6.7500000000000004E-2</v>
      </c>
      <c r="H35" s="209">
        <v>1.46</v>
      </c>
      <c r="I35" s="211">
        <f t="shared" si="0"/>
        <v>5.3190470709591393</v>
      </c>
      <c r="J35" s="211">
        <f t="shared" si="9"/>
        <v>1.7373173878300492</v>
      </c>
      <c r="K35" s="209"/>
      <c r="L35" s="203">
        <f t="shared" si="8"/>
        <v>3.7843379255013257E-2</v>
      </c>
      <c r="M35" s="27">
        <f t="shared" si="4"/>
        <v>1.7751607670850624</v>
      </c>
      <c r="N35" s="27"/>
      <c r="O35" s="239">
        <f t="shared" si="10"/>
        <v>1.6683006183268656</v>
      </c>
      <c r="P35" s="237">
        <f t="shared" si="5"/>
        <v>1.6683006183268657E-2</v>
      </c>
    </row>
    <row r="36" spans="4:17" ht="15" customHeight="1" x14ac:dyDescent="0.25">
      <c r="D36" s="195">
        <v>58</v>
      </c>
      <c r="E36" s="206">
        <v>46170</v>
      </c>
      <c r="F36" s="207">
        <f t="shared" si="7"/>
        <v>1777</v>
      </c>
      <c r="G36" s="208">
        <f>GEMSA!$D$17</f>
        <v>6.7500000000000004E-2</v>
      </c>
      <c r="H36" s="209">
        <v>1.48</v>
      </c>
      <c r="I36" s="211">
        <f t="shared" si="0"/>
        <v>3.5579308148026509</v>
      </c>
      <c r="J36" s="211">
        <f t="shared" si="9"/>
        <v>1.7611162561564881</v>
      </c>
      <c r="K36" s="209"/>
      <c r="L36" s="203">
        <f t="shared" si="8"/>
        <v>2.9509781695047282E-2</v>
      </c>
      <c r="M36" s="27">
        <f t="shared" si="4"/>
        <v>1.7906260378515355</v>
      </c>
      <c r="N36" s="27"/>
      <c r="O36" s="239">
        <f t="shared" si="10"/>
        <v>1.681041720624203</v>
      </c>
      <c r="P36" s="237">
        <f t="shared" si="5"/>
        <v>1.6810417206242032E-2</v>
      </c>
    </row>
    <row r="37" spans="4:17" ht="15" customHeight="1" x14ac:dyDescent="0.25">
      <c r="D37" s="195">
        <v>59</v>
      </c>
      <c r="E37" s="206">
        <v>46202</v>
      </c>
      <c r="F37" s="207">
        <f t="shared" si="7"/>
        <v>1809</v>
      </c>
      <c r="G37" s="208">
        <f>GEMSA!$D$17</f>
        <v>6.7500000000000004E-2</v>
      </c>
      <c r="H37" s="209">
        <v>1.48</v>
      </c>
      <c r="I37" s="211">
        <f t="shared" si="0"/>
        <v>1.7968145586461628</v>
      </c>
      <c r="J37" s="211">
        <f t="shared" si="9"/>
        <v>1.7611162561564881</v>
      </c>
      <c r="K37" s="209"/>
      <c r="L37" s="214">
        <f t="shared" si="8"/>
        <v>2.1055152219106102E-2</v>
      </c>
      <c r="M37" s="27">
        <f t="shared" si="4"/>
        <v>1.7821714083755942</v>
      </c>
      <c r="N37" s="27"/>
      <c r="O37" s="242">
        <f t="shared" si="10"/>
        <v>1.6712028872022164</v>
      </c>
      <c r="P37" s="237">
        <f t="shared" si="5"/>
        <v>1.6712028872022163E-2</v>
      </c>
    </row>
    <row r="38" spans="4:17" ht="15" customHeight="1" x14ac:dyDescent="0.25">
      <c r="D38" s="225">
        <v>60</v>
      </c>
      <c r="E38" s="233">
        <v>46231</v>
      </c>
      <c r="F38" s="226">
        <f t="shared" si="7"/>
        <v>1838</v>
      </c>
      <c r="G38" s="227">
        <f>GEMSA!$D$17</f>
        <v>6.7500000000000004E-2</v>
      </c>
      <c r="H38" s="228">
        <v>1.51</v>
      </c>
      <c r="I38" s="229">
        <f t="shared" si="0"/>
        <v>1.5987211554602254E-14</v>
      </c>
      <c r="J38" s="229">
        <f t="shared" si="9"/>
        <v>1.7968145586461468</v>
      </c>
      <c r="K38" s="228"/>
      <c r="L38" s="230">
        <f t="shared" si="8"/>
        <v>9.6363410919174369E-3</v>
      </c>
      <c r="M38" s="30">
        <f t="shared" si="4"/>
        <v>1.8064508997380642</v>
      </c>
      <c r="N38" s="30"/>
      <c r="O38" s="243">
        <f t="shared" si="10"/>
        <v>1.6922256672019338</v>
      </c>
      <c r="P38" s="244">
        <f t="shared" si="5"/>
        <v>1.692225667201934E-2</v>
      </c>
      <c r="Q38" s="28"/>
    </row>
    <row r="39" spans="4:17" ht="15" customHeight="1" x14ac:dyDescent="0.25">
      <c r="D39" s="195"/>
      <c r="H39" s="31">
        <f>+SUM(H4:H38)</f>
        <v>100</v>
      </c>
      <c r="J39" s="31">
        <f>SUM(J5:J38)</f>
        <v>118.99434163219514</v>
      </c>
      <c r="L39" s="203"/>
      <c r="M39" s="27">
        <f>SUM(M5:M38)</f>
        <v>126.79682913905901</v>
      </c>
      <c r="N39" s="27"/>
      <c r="O39" s="239"/>
    </row>
    <row r="40" spans="4:17" ht="15" customHeight="1" x14ac:dyDescent="0.25">
      <c r="D40" s="195"/>
      <c r="G40" s="231"/>
      <c r="L40" s="29"/>
      <c r="M40" s="29"/>
      <c r="N40" s="27"/>
      <c r="O40" s="239"/>
    </row>
    <row r="41" spans="4:17" ht="15" customHeight="1" x14ac:dyDescent="0.25">
      <c r="D41" s="232"/>
      <c r="L41" s="29"/>
      <c r="M41" s="29"/>
      <c r="N41" s="27"/>
      <c r="O41" s="239"/>
    </row>
    <row r="42" spans="4:17" ht="15" customHeight="1" x14ac:dyDescent="0.25">
      <c r="D42" s="195"/>
      <c r="L42" s="29"/>
      <c r="M42" s="29"/>
      <c r="N42" s="27"/>
      <c r="O42" s="239"/>
    </row>
    <row r="43" spans="4:17" ht="15" customHeight="1" x14ac:dyDescent="0.25">
      <c r="D43" s="195"/>
      <c r="L43" s="29"/>
      <c r="M43" s="29"/>
      <c r="N43" s="27"/>
    </row>
    <row r="44" spans="4:17" ht="15" customHeight="1" x14ac:dyDescent="0.25">
      <c r="D44" s="195"/>
      <c r="N44" s="27"/>
    </row>
    <row r="45" spans="4:17" ht="15" customHeight="1" x14ac:dyDescent="0.25">
      <c r="D45" s="195"/>
      <c r="N45" s="27"/>
    </row>
    <row r="46" spans="4:17" ht="15" customHeight="1" x14ac:dyDescent="0.25">
      <c r="D46" s="195"/>
      <c r="N46" s="27"/>
    </row>
    <row r="47" spans="4:17" ht="15" customHeight="1" x14ac:dyDescent="0.25">
      <c r="D47" s="195"/>
      <c r="N47" s="27"/>
    </row>
    <row r="48" spans="4:17" ht="15" customHeight="1" x14ac:dyDescent="0.25">
      <c r="D48" s="195"/>
      <c r="N48" s="27"/>
    </row>
    <row r="49" spans="4:14" ht="15" customHeight="1" x14ac:dyDescent="0.25">
      <c r="D49" s="225"/>
      <c r="E49" s="28"/>
      <c r="F49" s="28"/>
      <c r="G49" s="28"/>
      <c r="H49" s="28"/>
      <c r="I49" s="28"/>
      <c r="J49" s="28"/>
      <c r="K49" s="28"/>
      <c r="L49" s="28"/>
      <c r="M49" s="28"/>
      <c r="N49" s="27"/>
    </row>
    <row r="50" spans="4:14" ht="15" customHeight="1" x14ac:dyDescent="0.25">
      <c r="N50" s="27"/>
    </row>
    <row r="51" spans="4:14" ht="15" customHeight="1" x14ac:dyDescent="0.25">
      <c r="N51" s="27"/>
    </row>
    <row r="52" spans="4:14" ht="15" customHeight="1" x14ac:dyDescent="0.25">
      <c r="N52" s="27"/>
    </row>
    <row r="53" spans="4:14" ht="15" customHeight="1" x14ac:dyDescent="0.25">
      <c r="N53" s="27"/>
    </row>
    <row r="54" spans="4:14" ht="15" customHeight="1" x14ac:dyDescent="0.25">
      <c r="N54" s="27"/>
    </row>
    <row r="55" spans="4:14" ht="15" customHeight="1" x14ac:dyDescent="0.25">
      <c r="N55" s="27"/>
    </row>
    <row r="56" spans="4:14" ht="15" customHeight="1" x14ac:dyDescent="0.25">
      <c r="N56" s="27"/>
    </row>
    <row r="57" spans="4:14" ht="15" customHeight="1" x14ac:dyDescent="0.25">
      <c r="N57" s="27"/>
    </row>
    <row r="58" spans="4:14" ht="15" customHeight="1" x14ac:dyDescent="0.25">
      <c r="N58" s="27"/>
    </row>
    <row r="59" spans="4:14" ht="15" customHeight="1" x14ac:dyDescent="0.25">
      <c r="N59" s="27"/>
    </row>
    <row r="60" spans="4:14" ht="15" customHeight="1" x14ac:dyDescent="0.25">
      <c r="N60" s="27"/>
    </row>
    <row r="61" spans="4:14" ht="15" customHeight="1" x14ac:dyDescent="0.25">
      <c r="N61" s="27"/>
    </row>
    <row r="62" spans="4:14" ht="15" customHeight="1" x14ac:dyDescent="0.25">
      <c r="N62" s="27"/>
    </row>
    <row r="63" spans="4:14" ht="15" customHeight="1" x14ac:dyDescent="0.25">
      <c r="N63" s="27"/>
    </row>
    <row r="64" spans="4:14" ht="15" customHeight="1" x14ac:dyDescent="0.25">
      <c r="N64" s="31"/>
    </row>
    <row r="65" spans="14:14" ht="15" customHeight="1" x14ac:dyDescent="0.25">
      <c r="N65" s="29"/>
    </row>
    <row r="66" spans="14:14" ht="15" customHeight="1" x14ac:dyDescent="0.25">
      <c r="N66" s="29"/>
    </row>
    <row r="67" spans="14:14" ht="15" customHeight="1" x14ac:dyDescent="0.25">
      <c r="N67" s="29"/>
    </row>
    <row r="68" spans="14:14" ht="15" customHeight="1" x14ac:dyDescent="0.25">
      <c r="N68" s="29"/>
    </row>
    <row r="69" spans="14:14" ht="15" customHeight="1" x14ac:dyDescent="0.25"/>
    <row r="70" spans="14:14" ht="15" customHeight="1" x14ac:dyDescent="0.25"/>
    <row r="71" spans="14:14" ht="15" customHeight="1" x14ac:dyDescent="0.25"/>
    <row r="72" spans="14:14" ht="15" customHeight="1" x14ac:dyDescent="0.25"/>
    <row r="73" spans="14:14" ht="15" customHeight="1" x14ac:dyDescent="0.25"/>
    <row r="74" spans="14:14" ht="15" customHeight="1" x14ac:dyDescent="0.25">
      <c r="N74" s="28"/>
    </row>
  </sheetData>
  <sheetProtection algorithmName="SHA-512" hashValue="q6k5PrBTs1WEbU0DvetRIBK7E5AiuucScUqq4qWNX3TQYejQZ/fLSF+p3HAnStwj3JjLcsx2hNSRDkBotehQew==" saltValue="9dvKfWcglO2cQ8SigIB8hg==" spinCount="100000" sheet="1" objects="1" scenarios="1" selectLockedCells="1" selectUnlockedCells="1"/>
  <mergeCells count="1">
    <mergeCell ref="A2:C2"/>
  </mergeCells>
  <pageMargins left="0.7" right="0.7" top="0.75" bottom="0.75" header="0.3" footer="0.3"/>
  <ignoredErrors>
    <ignoredError sqref="H3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workbookViewId="0">
      <selection activeCell="A18" sqref="A18"/>
    </sheetView>
  </sheetViews>
  <sheetFormatPr baseColWidth="10" defaultColWidth="14.7109375" defaultRowHeight="12" x14ac:dyDescent="0.25"/>
  <cols>
    <col min="1" max="1" width="21.7109375" style="36" bestFit="1" customWidth="1"/>
    <col min="2" max="2" width="10.42578125" style="36" customWidth="1"/>
    <col min="3" max="3" width="8.42578125" style="36" customWidth="1"/>
    <col min="4" max="4" width="4.42578125" style="35" customWidth="1"/>
    <col min="5" max="5" width="9.42578125" style="36" customWidth="1"/>
    <col min="6" max="6" width="6.42578125" style="36" customWidth="1"/>
    <col min="7" max="7" width="8.140625" style="36" customWidth="1"/>
    <col min="8" max="11" width="11.28515625" style="36" customWidth="1"/>
    <col min="12" max="12" width="10.7109375" style="36" customWidth="1"/>
    <col min="13" max="14" width="6.42578125" style="36" customWidth="1"/>
    <col min="15" max="15" width="8.140625" style="246" customWidth="1"/>
    <col min="16" max="16" width="9.85546875" style="246" customWidth="1"/>
    <col min="17" max="17" width="13.42578125" style="36" customWidth="1"/>
    <col min="18" max="18" width="11.140625" style="36" customWidth="1"/>
    <col min="19" max="262" width="14.7109375" style="36"/>
    <col min="263" max="263" width="21.7109375" style="36" bestFit="1" customWidth="1"/>
    <col min="264" max="269" width="14.7109375" style="36"/>
    <col min="270" max="274" width="0" style="36" hidden="1" customWidth="1"/>
    <col min="275" max="518" width="14.7109375" style="36"/>
    <col min="519" max="519" width="21.7109375" style="36" bestFit="1" customWidth="1"/>
    <col min="520" max="525" width="14.7109375" style="36"/>
    <col min="526" max="530" width="0" style="36" hidden="1" customWidth="1"/>
    <col min="531" max="774" width="14.7109375" style="36"/>
    <col min="775" max="775" width="21.7109375" style="36" bestFit="1" customWidth="1"/>
    <col min="776" max="781" width="14.7109375" style="36"/>
    <col min="782" max="786" width="0" style="36" hidden="1" customWidth="1"/>
    <col min="787" max="1030" width="14.7109375" style="36"/>
    <col min="1031" max="1031" width="21.7109375" style="36" bestFit="1" customWidth="1"/>
    <col min="1032" max="1037" width="14.7109375" style="36"/>
    <col min="1038" max="1042" width="0" style="36" hidden="1" customWidth="1"/>
    <col min="1043" max="1286" width="14.7109375" style="36"/>
    <col min="1287" max="1287" width="21.7109375" style="36" bestFit="1" customWidth="1"/>
    <col min="1288" max="1293" width="14.7109375" style="36"/>
    <col min="1294" max="1298" width="0" style="36" hidden="1" customWidth="1"/>
    <col min="1299" max="1542" width="14.7109375" style="36"/>
    <col min="1543" max="1543" width="21.7109375" style="36" bestFit="1" customWidth="1"/>
    <col min="1544" max="1549" width="14.7109375" style="36"/>
    <col min="1550" max="1554" width="0" style="36" hidden="1" customWidth="1"/>
    <col min="1555" max="1798" width="14.7109375" style="36"/>
    <col min="1799" max="1799" width="21.7109375" style="36" bestFit="1" customWidth="1"/>
    <col min="1800" max="1805" width="14.7109375" style="36"/>
    <col min="1806" max="1810" width="0" style="36" hidden="1" customWidth="1"/>
    <col min="1811" max="2054" width="14.7109375" style="36"/>
    <col min="2055" max="2055" width="21.7109375" style="36" bestFit="1" customWidth="1"/>
    <col min="2056" max="2061" width="14.7109375" style="36"/>
    <col min="2062" max="2066" width="0" style="36" hidden="1" customWidth="1"/>
    <col min="2067" max="2310" width="14.7109375" style="36"/>
    <col min="2311" max="2311" width="21.7109375" style="36" bestFit="1" customWidth="1"/>
    <col min="2312" max="2317" width="14.7109375" style="36"/>
    <col min="2318" max="2322" width="0" style="36" hidden="1" customWidth="1"/>
    <col min="2323" max="2566" width="14.7109375" style="36"/>
    <col min="2567" max="2567" width="21.7109375" style="36" bestFit="1" customWidth="1"/>
    <col min="2568" max="2573" width="14.7109375" style="36"/>
    <col min="2574" max="2578" width="0" style="36" hidden="1" customWidth="1"/>
    <col min="2579" max="2822" width="14.7109375" style="36"/>
    <col min="2823" max="2823" width="21.7109375" style="36" bestFit="1" customWidth="1"/>
    <col min="2824" max="2829" width="14.7109375" style="36"/>
    <col min="2830" max="2834" width="0" style="36" hidden="1" customWidth="1"/>
    <col min="2835" max="3078" width="14.7109375" style="36"/>
    <col min="3079" max="3079" width="21.7109375" style="36" bestFit="1" customWidth="1"/>
    <col min="3080" max="3085" width="14.7109375" style="36"/>
    <col min="3086" max="3090" width="0" style="36" hidden="1" customWidth="1"/>
    <col min="3091" max="3334" width="14.7109375" style="36"/>
    <col min="3335" max="3335" width="21.7109375" style="36" bestFit="1" customWidth="1"/>
    <col min="3336" max="3341" width="14.7109375" style="36"/>
    <col min="3342" max="3346" width="0" style="36" hidden="1" customWidth="1"/>
    <col min="3347" max="3590" width="14.7109375" style="36"/>
    <col min="3591" max="3591" width="21.7109375" style="36" bestFit="1" customWidth="1"/>
    <col min="3592" max="3597" width="14.7109375" style="36"/>
    <col min="3598" max="3602" width="0" style="36" hidden="1" customWidth="1"/>
    <col min="3603" max="3846" width="14.7109375" style="36"/>
    <col min="3847" max="3847" width="21.7109375" style="36" bestFit="1" customWidth="1"/>
    <col min="3848" max="3853" width="14.7109375" style="36"/>
    <col min="3854" max="3858" width="0" style="36" hidden="1" customWidth="1"/>
    <col min="3859" max="4102" width="14.7109375" style="36"/>
    <col min="4103" max="4103" width="21.7109375" style="36" bestFit="1" customWidth="1"/>
    <col min="4104" max="4109" width="14.7109375" style="36"/>
    <col min="4110" max="4114" width="0" style="36" hidden="1" customWidth="1"/>
    <col min="4115" max="4358" width="14.7109375" style="36"/>
    <col min="4359" max="4359" width="21.7109375" style="36" bestFit="1" customWidth="1"/>
    <col min="4360" max="4365" width="14.7109375" style="36"/>
    <col min="4366" max="4370" width="0" style="36" hidden="1" customWidth="1"/>
    <col min="4371" max="4614" width="14.7109375" style="36"/>
    <col min="4615" max="4615" width="21.7109375" style="36" bestFit="1" customWidth="1"/>
    <col min="4616" max="4621" width="14.7109375" style="36"/>
    <col min="4622" max="4626" width="0" style="36" hidden="1" customWidth="1"/>
    <col min="4627" max="4870" width="14.7109375" style="36"/>
    <col min="4871" max="4871" width="21.7109375" style="36" bestFit="1" customWidth="1"/>
    <col min="4872" max="4877" width="14.7109375" style="36"/>
    <col min="4878" max="4882" width="0" style="36" hidden="1" customWidth="1"/>
    <col min="4883" max="5126" width="14.7109375" style="36"/>
    <col min="5127" max="5127" width="21.7109375" style="36" bestFit="1" customWidth="1"/>
    <col min="5128" max="5133" width="14.7109375" style="36"/>
    <col min="5134" max="5138" width="0" style="36" hidden="1" customWidth="1"/>
    <col min="5139" max="5382" width="14.7109375" style="36"/>
    <col min="5383" max="5383" width="21.7109375" style="36" bestFit="1" customWidth="1"/>
    <col min="5384" max="5389" width="14.7109375" style="36"/>
    <col min="5390" max="5394" width="0" style="36" hidden="1" customWidth="1"/>
    <col min="5395" max="5638" width="14.7109375" style="36"/>
    <col min="5639" max="5639" width="21.7109375" style="36" bestFit="1" customWidth="1"/>
    <col min="5640" max="5645" width="14.7109375" style="36"/>
    <col min="5646" max="5650" width="0" style="36" hidden="1" customWidth="1"/>
    <col min="5651" max="5894" width="14.7109375" style="36"/>
    <col min="5895" max="5895" width="21.7109375" style="36" bestFit="1" customWidth="1"/>
    <col min="5896" max="5901" width="14.7109375" style="36"/>
    <col min="5902" max="5906" width="0" style="36" hidden="1" customWidth="1"/>
    <col min="5907" max="6150" width="14.7109375" style="36"/>
    <col min="6151" max="6151" width="21.7109375" style="36" bestFit="1" customWidth="1"/>
    <col min="6152" max="6157" width="14.7109375" style="36"/>
    <col min="6158" max="6162" width="0" style="36" hidden="1" customWidth="1"/>
    <col min="6163" max="6406" width="14.7109375" style="36"/>
    <col min="6407" max="6407" width="21.7109375" style="36" bestFit="1" customWidth="1"/>
    <col min="6408" max="6413" width="14.7109375" style="36"/>
    <col min="6414" max="6418" width="0" style="36" hidden="1" customWidth="1"/>
    <col min="6419" max="6662" width="14.7109375" style="36"/>
    <col min="6663" max="6663" width="21.7109375" style="36" bestFit="1" customWidth="1"/>
    <col min="6664" max="6669" width="14.7109375" style="36"/>
    <col min="6670" max="6674" width="0" style="36" hidden="1" customWidth="1"/>
    <col min="6675" max="6918" width="14.7109375" style="36"/>
    <col min="6919" max="6919" width="21.7109375" style="36" bestFit="1" customWidth="1"/>
    <col min="6920" max="6925" width="14.7109375" style="36"/>
    <col min="6926" max="6930" width="0" style="36" hidden="1" customWidth="1"/>
    <col min="6931" max="7174" width="14.7109375" style="36"/>
    <col min="7175" max="7175" width="21.7109375" style="36" bestFit="1" customWidth="1"/>
    <col min="7176" max="7181" width="14.7109375" style="36"/>
    <col min="7182" max="7186" width="0" style="36" hidden="1" customWidth="1"/>
    <col min="7187" max="7430" width="14.7109375" style="36"/>
    <col min="7431" max="7431" width="21.7109375" style="36" bestFit="1" customWidth="1"/>
    <col min="7432" max="7437" width="14.7109375" style="36"/>
    <col min="7438" max="7442" width="0" style="36" hidden="1" customWidth="1"/>
    <col min="7443" max="7686" width="14.7109375" style="36"/>
    <col min="7687" max="7687" width="21.7109375" style="36" bestFit="1" customWidth="1"/>
    <col min="7688" max="7693" width="14.7109375" style="36"/>
    <col min="7694" max="7698" width="0" style="36" hidden="1" customWidth="1"/>
    <col min="7699" max="7942" width="14.7109375" style="36"/>
    <col min="7943" max="7943" width="21.7109375" style="36" bestFit="1" customWidth="1"/>
    <col min="7944" max="7949" width="14.7109375" style="36"/>
    <col min="7950" max="7954" width="0" style="36" hidden="1" customWidth="1"/>
    <col min="7955" max="8198" width="14.7109375" style="36"/>
    <col min="8199" max="8199" width="21.7109375" style="36" bestFit="1" customWidth="1"/>
    <col min="8200" max="8205" width="14.7109375" style="36"/>
    <col min="8206" max="8210" width="0" style="36" hidden="1" customWidth="1"/>
    <col min="8211" max="8454" width="14.7109375" style="36"/>
    <col min="8455" max="8455" width="21.7109375" style="36" bestFit="1" customWidth="1"/>
    <col min="8456" max="8461" width="14.7109375" style="36"/>
    <col min="8462" max="8466" width="0" style="36" hidden="1" customWidth="1"/>
    <col min="8467" max="8710" width="14.7109375" style="36"/>
    <col min="8711" max="8711" width="21.7109375" style="36" bestFit="1" customWidth="1"/>
    <col min="8712" max="8717" width="14.7109375" style="36"/>
    <col min="8718" max="8722" width="0" style="36" hidden="1" customWidth="1"/>
    <col min="8723" max="8966" width="14.7109375" style="36"/>
    <col min="8967" max="8967" width="21.7109375" style="36" bestFit="1" customWidth="1"/>
    <col min="8968" max="8973" width="14.7109375" style="36"/>
    <col min="8974" max="8978" width="0" style="36" hidden="1" customWidth="1"/>
    <col min="8979" max="9222" width="14.7109375" style="36"/>
    <col min="9223" max="9223" width="21.7109375" style="36" bestFit="1" customWidth="1"/>
    <col min="9224" max="9229" width="14.7109375" style="36"/>
    <col min="9230" max="9234" width="0" style="36" hidden="1" customWidth="1"/>
    <col min="9235" max="9478" width="14.7109375" style="36"/>
    <col min="9479" max="9479" width="21.7109375" style="36" bestFit="1" customWidth="1"/>
    <col min="9480" max="9485" width="14.7109375" style="36"/>
    <col min="9486" max="9490" width="0" style="36" hidden="1" customWidth="1"/>
    <col min="9491" max="9734" width="14.7109375" style="36"/>
    <col min="9735" max="9735" width="21.7109375" style="36" bestFit="1" customWidth="1"/>
    <col min="9736" max="9741" width="14.7109375" style="36"/>
    <col min="9742" max="9746" width="0" style="36" hidden="1" customWidth="1"/>
    <col min="9747" max="9990" width="14.7109375" style="36"/>
    <col min="9991" max="9991" width="21.7109375" style="36" bestFit="1" customWidth="1"/>
    <col min="9992" max="9997" width="14.7109375" style="36"/>
    <col min="9998" max="10002" width="0" style="36" hidden="1" customWidth="1"/>
    <col min="10003" max="10246" width="14.7109375" style="36"/>
    <col min="10247" max="10247" width="21.7109375" style="36" bestFit="1" customWidth="1"/>
    <col min="10248" max="10253" width="14.7109375" style="36"/>
    <col min="10254" max="10258" width="0" style="36" hidden="1" customWidth="1"/>
    <col min="10259" max="10502" width="14.7109375" style="36"/>
    <col min="10503" max="10503" width="21.7109375" style="36" bestFit="1" customWidth="1"/>
    <col min="10504" max="10509" width="14.7109375" style="36"/>
    <col min="10510" max="10514" width="0" style="36" hidden="1" customWidth="1"/>
    <col min="10515" max="10758" width="14.7109375" style="36"/>
    <col min="10759" max="10759" width="21.7109375" style="36" bestFit="1" customWidth="1"/>
    <col min="10760" max="10765" width="14.7109375" style="36"/>
    <col min="10766" max="10770" width="0" style="36" hidden="1" customWidth="1"/>
    <col min="10771" max="11014" width="14.7109375" style="36"/>
    <col min="11015" max="11015" width="21.7109375" style="36" bestFit="1" customWidth="1"/>
    <col min="11016" max="11021" width="14.7109375" style="36"/>
    <col min="11022" max="11026" width="0" style="36" hidden="1" customWidth="1"/>
    <col min="11027" max="11270" width="14.7109375" style="36"/>
    <col min="11271" max="11271" width="21.7109375" style="36" bestFit="1" customWidth="1"/>
    <col min="11272" max="11277" width="14.7109375" style="36"/>
    <col min="11278" max="11282" width="0" style="36" hidden="1" customWidth="1"/>
    <col min="11283" max="11526" width="14.7109375" style="36"/>
    <col min="11527" max="11527" width="21.7109375" style="36" bestFit="1" customWidth="1"/>
    <col min="11528" max="11533" width="14.7109375" style="36"/>
    <col min="11534" max="11538" width="0" style="36" hidden="1" customWidth="1"/>
    <col min="11539" max="11782" width="14.7109375" style="36"/>
    <col min="11783" max="11783" width="21.7109375" style="36" bestFit="1" customWidth="1"/>
    <col min="11784" max="11789" width="14.7109375" style="36"/>
    <col min="11790" max="11794" width="0" style="36" hidden="1" customWidth="1"/>
    <col min="11795" max="12038" width="14.7109375" style="36"/>
    <col min="12039" max="12039" width="21.7109375" style="36" bestFit="1" customWidth="1"/>
    <col min="12040" max="12045" width="14.7109375" style="36"/>
    <col min="12046" max="12050" width="0" style="36" hidden="1" customWidth="1"/>
    <col min="12051" max="12294" width="14.7109375" style="36"/>
    <col min="12295" max="12295" width="21.7109375" style="36" bestFit="1" customWidth="1"/>
    <col min="12296" max="12301" width="14.7109375" style="36"/>
    <col min="12302" max="12306" width="0" style="36" hidden="1" customWidth="1"/>
    <col min="12307" max="12550" width="14.7109375" style="36"/>
    <col min="12551" max="12551" width="21.7109375" style="36" bestFit="1" customWidth="1"/>
    <col min="12552" max="12557" width="14.7109375" style="36"/>
    <col min="12558" max="12562" width="0" style="36" hidden="1" customWidth="1"/>
    <col min="12563" max="12806" width="14.7109375" style="36"/>
    <col min="12807" max="12807" width="21.7109375" style="36" bestFit="1" customWidth="1"/>
    <col min="12808" max="12813" width="14.7109375" style="36"/>
    <col min="12814" max="12818" width="0" style="36" hidden="1" customWidth="1"/>
    <col min="12819" max="13062" width="14.7109375" style="36"/>
    <col min="13063" max="13063" width="21.7109375" style="36" bestFit="1" customWidth="1"/>
    <col min="13064" max="13069" width="14.7109375" style="36"/>
    <col min="13070" max="13074" width="0" style="36" hidden="1" customWidth="1"/>
    <col min="13075" max="13318" width="14.7109375" style="36"/>
    <col min="13319" max="13319" width="21.7109375" style="36" bestFit="1" customWidth="1"/>
    <col min="13320" max="13325" width="14.7109375" style="36"/>
    <col min="13326" max="13330" width="0" style="36" hidden="1" customWidth="1"/>
    <col min="13331" max="13574" width="14.7109375" style="36"/>
    <col min="13575" max="13575" width="21.7109375" style="36" bestFit="1" customWidth="1"/>
    <col min="13576" max="13581" width="14.7109375" style="36"/>
    <col min="13582" max="13586" width="0" style="36" hidden="1" customWidth="1"/>
    <col min="13587" max="13830" width="14.7109375" style="36"/>
    <col min="13831" max="13831" width="21.7109375" style="36" bestFit="1" customWidth="1"/>
    <col min="13832" max="13837" width="14.7109375" style="36"/>
    <col min="13838" max="13842" width="0" style="36" hidden="1" customWidth="1"/>
    <col min="13843" max="14086" width="14.7109375" style="36"/>
    <col min="14087" max="14087" width="21.7109375" style="36" bestFit="1" customWidth="1"/>
    <col min="14088" max="14093" width="14.7109375" style="36"/>
    <col min="14094" max="14098" width="0" style="36" hidden="1" customWidth="1"/>
    <col min="14099" max="14342" width="14.7109375" style="36"/>
    <col min="14343" max="14343" width="21.7109375" style="36" bestFit="1" customWidth="1"/>
    <col min="14344" max="14349" width="14.7109375" style="36"/>
    <col min="14350" max="14354" width="0" style="36" hidden="1" customWidth="1"/>
    <col min="14355" max="14598" width="14.7109375" style="36"/>
    <col min="14599" max="14599" width="21.7109375" style="36" bestFit="1" customWidth="1"/>
    <col min="14600" max="14605" width="14.7109375" style="36"/>
    <col min="14606" max="14610" width="0" style="36" hidden="1" customWidth="1"/>
    <col min="14611" max="14854" width="14.7109375" style="36"/>
    <col min="14855" max="14855" width="21.7109375" style="36" bestFit="1" customWidth="1"/>
    <col min="14856" max="14861" width="14.7109375" style="36"/>
    <col min="14862" max="14866" width="0" style="36" hidden="1" customWidth="1"/>
    <col min="14867" max="15110" width="14.7109375" style="36"/>
    <col min="15111" max="15111" width="21.7109375" style="36" bestFit="1" customWidth="1"/>
    <col min="15112" max="15117" width="14.7109375" style="36"/>
    <col min="15118" max="15122" width="0" style="36" hidden="1" customWidth="1"/>
    <col min="15123" max="15366" width="14.7109375" style="36"/>
    <col min="15367" max="15367" width="21.7109375" style="36" bestFit="1" customWidth="1"/>
    <col min="15368" max="15373" width="14.7109375" style="36"/>
    <col min="15374" max="15378" width="0" style="36" hidden="1" customWidth="1"/>
    <col min="15379" max="15622" width="14.7109375" style="36"/>
    <col min="15623" max="15623" width="21.7109375" style="36" bestFit="1" customWidth="1"/>
    <col min="15624" max="15629" width="14.7109375" style="36"/>
    <col min="15630" max="15634" width="0" style="36" hidden="1" customWidth="1"/>
    <col min="15635" max="15878" width="14.7109375" style="36"/>
    <col min="15879" max="15879" width="21.7109375" style="36" bestFit="1" customWidth="1"/>
    <col min="15880" max="15885" width="14.7109375" style="36"/>
    <col min="15886" max="15890" width="0" style="36" hidden="1" customWidth="1"/>
    <col min="15891" max="16134" width="14.7109375" style="36"/>
    <col min="16135" max="16135" width="21.7109375" style="36" bestFit="1" customWidth="1"/>
    <col min="16136" max="16141" width="14.7109375" style="36"/>
    <col min="16142" max="16146" width="0" style="36" hidden="1" customWidth="1"/>
    <col min="16147" max="16384" width="14.7109375" style="36"/>
  </cols>
  <sheetData>
    <row r="1" spans="1:20" ht="15" customHeight="1" x14ac:dyDescent="0.25">
      <c r="E1" s="4"/>
      <c r="F1" s="4"/>
      <c r="G1" s="4"/>
      <c r="H1" s="4"/>
      <c r="I1" s="4"/>
      <c r="J1" s="4"/>
      <c r="K1" s="4"/>
      <c r="L1" s="4"/>
      <c r="M1" s="74"/>
      <c r="N1" s="74"/>
      <c r="O1" s="245"/>
    </row>
    <row r="2" spans="1:20" s="81" customFormat="1" ht="14.25" customHeight="1" x14ac:dyDescent="0.25">
      <c r="A2" s="178" t="str">
        <f>GEMSA!F3</f>
        <v>Dólar Linked / Clase XVI</v>
      </c>
      <c r="B2" s="178"/>
      <c r="C2" s="178"/>
      <c r="D2" s="13" t="s">
        <v>25</v>
      </c>
      <c r="E2" s="75" t="s">
        <v>24</v>
      </c>
      <c r="F2" s="75" t="s">
        <v>28</v>
      </c>
      <c r="G2" s="75" t="s">
        <v>7</v>
      </c>
      <c r="H2" s="75" t="s">
        <v>41</v>
      </c>
      <c r="I2" s="75" t="s">
        <v>42</v>
      </c>
      <c r="J2" s="75" t="s">
        <v>45</v>
      </c>
      <c r="K2" s="75" t="s">
        <v>35</v>
      </c>
      <c r="L2" s="76" t="s">
        <v>1</v>
      </c>
      <c r="M2" s="77" t="s">
        <v>2</v>
      </c>
      <c r="N2" s="78"/>
      <c r="O2" s="247"/>
      <c r="P2" s="247"/>
      <c r="Q2" s="79"/>
      <c r="R2" s="80"/>
      <c r="S2" s="79"/>
    </row>
    <row r="3" spans="1:20" ht="15" customHeight="1" x14ac:dyDescent="0.25">
      <c r="A3" s="82" t="s">
        <v>3</v>
      </c>
      <c r="B3" s="82"/>
      <c r="C3" s="6">
        <f>GEMSA!G9</f>
        <v>100</v>
      </c>
      <c r="D3" s="15"/>
      <c r="E3" s="83">
        <f>C5</f>
        <v>44393</v>
      </c>
      <c r="F3" s="63"/>
      <c r="G3" s="63"/>
      <c r="H3" s="63"/>
      <c r="I3" s="63"/>
      <c r="J3" s="63"/>
      <c r="K3" s="63"/>
      <c r="L3" s="84"/>
      <c r="M3" s="85">
        <f>-C3</f>
        <v>-100</v>
      </c>
      <c r="N3" s="86"/>
      <c r="O3" s="248"/>
      <c r="P3" s="248"/>
      <c r="Q3" s="1"/>
      <c r="T3" s="87"/>
    </row>
    <row r="4" spans="1:20" ht="15" customHeight="1" x14ac:dyDescent="0.25">
      <c r="A4" s="82"/>
      <c r="B4" s="82"/>
      <c r="C4" s="6"/>
      <c r="D4" s="17">
        <v>0</v>
      </c>
      <c r="E4" s="88">
        <v>44393</v>
      </c>
      <c r="F4" s="9">
        <f>E4-$E$3</f>
        <v>0</v>
      </c>
      <c r="G4" s="89"/>
      <c r="H4" s="5"/>
      <c r="I4" s="67">
        <f>+C3</f>
        <v>100</v>
      </c>
      <c r="J4" s="5"/>
      <c r="K4" s="5"/>
      <c r="L4" s="84"/>
      <c r="M4" s="85"/>
      <c r="N4" s="86"/>
      <c r="O4" s="249">
        <f>(SUM(O5:O74))/100</f>
        <v>1.4349255787436486</v>
      </c>
      <c r="Q4" s="90"/>
      <c r="T4" s="87"/>
    </row>
    <row r="5" spans="1:20" ht="15" customHeight="1" x14ac:dyDescent="0.25">
      <c r="A5" s="4" t="s">
        <v>8</v>
      </c>
      <c r="B5" s="4"/>
      <c r="C5" s="5">
        <f>GEMSA!G6</f>
        <v>44393</v>
      </c>
      <c r="D5" s="70">
        <v>6</v>
      </c>
      <c r="E5" s="5">
        <v>44589</v>
      </c>
      <c r="F5" s="9">
        <f t="shared" ref="F5:F67" si="0">E5-$E$3</f>
        <v>196</v>
      </c>
      <c r="G5" s="91">
        <f t="shared" ref="G5:G42" si="1">$C$8</f>
        <v>7.7499999999999999E-2</v>
      </c>
      <c r="H5" s="85">
        <v>0</v>
      </c>
      <c r="I5" s="6">
        <f t="shared" ref="I5:I67" si="2">+I4+K5-J5</f>
        <v>104.16164383561645</v>
      </c>
      <c r="J5" s="6">
        <v>0</v>
      </c>
      <c r="K5" s="67">
        <f>+YEARFRAC(E4,E5,3)*(G5)*I4</f>
        <v>4.161643835616438</v>
      </c>
      <c r="L5" s="38"/>
      <c r="M5" s="85">
        <f>+L5+J5</f>
        <v>0</v>
      </c>
      <c r="N5" s="86"/>
      <c r="O5" s="250">
        <f t="shared" ref="O5:O36" si="3">+M5/((1+G5)^(F5/$F$38))</f>
        <v>0</v>
      </c>
      <c r="P5" s="246">
        <f>O5/100</f>
        <v>0</v>
      </c>
      <c r="Q5" s="85"/>
      <c r="R5" s="85"/>
      <c r="S5" s="92"/>
      <c r="T5" s="92"/>
    </row>
    <row r="6" spans="1:20" ht="15" customHeight="1" x14ac:dyDescent="0.25">
      <c r="A6" s="4" t="s">
        <v>9</v>
      </c>
      <c r="B6" s="4"/>
      <c r="C6" s="5">
        <f>EDATE(C5,24)</f>
        <v>45123</v>
      </c>
      <c r="D6" s="70">
        <v>12</v>
      </c>
      <c r="E6" s="5">
        <v>44770</v>
      </c>
      <c r="F6" s="9">
        <f t="shared" si="0"/>
        <v>377</v>
      </c>
      <c r="G6" s="91">
        <f t="shared" si="1"/>
        <v>7.7499999999999999E-2</v>
      </c>
      <c r="H6" s="85">
        <v>0</v>
      </c>
      <c r="I6" s="6">
        <f t="shared" si="2"/>
        <v>108.16473276412086</v>
      </c>
      <c r="J6" s="6">
        <v>0</v>
      </c>
      <c r="K6" s="67">
        <f t="shared" ref="K6:K9" si="4">+YEARFRAC(E5,E6,3)*(G6)*I5</f>
        <v>4.0030889285044102</v>
      </c>
      <c r="L6" s="38"/>
      <c r="M6" s="85">
        <f t="shared" ref="M6:M9" si="5">+L6+J6</f>
        <v>0</v>
      </c>
      <c r="N6" s="86"/>
      <c r="O6" s="250">
        <f t="shared" si="3"/>
        <v>0</v>
      </c>
      <c r="P6" s="246">
        <f t="shared" ref="P6:P9" si="6">O6/100</f>
        <v>0</v>
      </c>
      <c r="Q6" s="85"/>
      <c r="R6" s="85"/>
      <c r="S6" s="92"/>
      <c r="T6" s="92"/>
    </row>
    <row r="7" spans="1:20" ht="15" customHeight="1" x14ac:dyDescent="0.25">
      <c r="D7" s="70">
        <v>18</v>
      </c>
      <c r="E7" s="5">
        <v>44954</v>
      </c>
      <c r="F7" s="9">
        <f t="shared" si="0"/>
        <v>561</v>
      </c>
      <c r="G7" s="91">
        <f t="shared" si="1"/>
        <v>7.7499999999999999E-2</v>
      </c>
      <c r="H7" s="85">
        <v>0</v>
      </c>
      <c r="I7" s="6">
        <f t="shared" si="2"/>
        <v>112.39056588526158</v>
      </c>
      <c r="J7" s="6">
        <v>0</v>
      </c>
      <c r="K7" s="67">
        <f t="shared" si="4"/>
        <v>4.2258331211407221</v>
      </c>
      <c r="L7" s="150"/>
      <c r="M7" s="85">
        <f t="shared" si="5"/>
        <v>0</v>
      </c>
      <c r="N7" s="86"/>
      <c r="O7" s="251">
        <f t="shared" si="3"/>
        <v>0</v>
      </c>
      <c r="P7" s="246">
        <f>O7/100</f>
        <v>0</v>
      </c>
      <c r="Q7" s="85"/>
      <c r="R7" s="85"/>
      <c r="S7" s="92"/>
      <c r="T7" s="92"/>
    </row>
    <row r="8" spans="1:20" ht="15" customHeight="1" x14ac:dyDescent="0.25">
      <c r="A8" s="4" t="s">
        <v>21</v>
      </c>
      <c r="B8" s="4"/>
      <c r="C8" s="94">
        <f>GEMSA!G17</f>
        <v>7.7499999999999999E-2</v>
      </c>
      <c r="D8" s="70">
        <v>24</v>
      </c>
      <c r="E8" s="5">
        <v>45135</v>
      </c>
      <c r="F8" s="9">
        <f t="shared" si="0"/>
        <v>742</v>
      </c>
      <c r="G8" s="91">
        <f t="shared" si="1"/>
        <v>7.7499999999999999E-2</v>
      </c>
      <c r="H8" s="85">
        <v>0</v>
      </c>
      <c r="I8" s="6">
        <f t="shared" si="2"/>
        <v>116.7099046878794</v>
      </c>
      <c r="J8" s="6">
        <v>0</v>
      </c>
      <c r="K8" s="67">
        <f t="shared" si="4"/>
        <v>4.3193388026178265</v>
      </c>
      <c r="L8" s="150"/>
      <c r="M8" s="85">
        <f t="shared" si="5"/>
        <v>0</v>
      </c>
      <c r="N8" s="86"/>
      <c r="O8" s="251">
        <f t="shared" si="3"/>
        <v>0</v>
      </c>
      <c r="P8" s="246">
        <f t="shared" si="6"/>
        <v>0</v>
      </c>
      <c r="Q8" s="85"/>
      <c r="R8" s="85"/>
      <c r="S8" s="92"/>
      <c r="T8" s="92"/>
    </row>
    <row r="9" spans="1:20" ht="15" customHeight="1" x14ac:dyDescent="0.25">
      <c r="A9" s="93" t="s">
        <v>37</v>
      </c>
      <c r="B9" s="93"/>
      <c r="C9" s="94">
        <f>XIRR(M3:M74,E3:E74)</f>
        <v>7.9680463671684285E-2</v>
      </c>
      <c r="D9" s="70">
        <v>31</v>
      </c>
      <c r="E9" s="5">
        <v>45350</v>
      </c>
      <c r="F9" s="9">
        <f t="shared" si="0"/>
        <v>957</v>
      </c>
      <c r="G9" s="91">
        <f t="shared" si="1"/>
        <v>7.7499999999999999E-2</v>
      </c>
      <c r="H9" s="85">
        <v>0</v>
      </c>
      <c r="I9" s="6">
        <f t="shared" si="2"/>
        <v>122.03779177517198</v>
      </c>
      <c r="J9" s="6">
        <v>0</v>
      </c>
      <c r="K9" s="71">
        <f t="shared" si="4"/>
        <v>5.3278870872925763</v>
      </c>
      <c r="L9" s="151"/>
      <c r="M9" s="99">
        <f t="shared" si="5"/>
        <v>0</v>
      </c>
      <c r="N9" s="86"/>
      <c r="O9" s="251">
        <f t="shared" si="3"/>
        <v>0</v>
      </c>
      <c r="P9" s="246">
        <f t="shared" si="6"/>
        <v>0</v>
      </c>
      <c r="Q9" s="85"/>
      <c r="R9" s="85"/>
      <c r="S9" s="92"/>
      <c r="T9" s="92"/>
    </row>
    <row r="10" spans="1:20" ht="15" customHeight="1" x14ac:dyDescent="0.25">
      <c r="D10" s="164">
        <f>+D9+1</f>
        <v>32</v>
      </c>
      <c r="E10" s="234">
        <v>45379</v>
      </c>
      <c r="F10" s="166">
        <f t="shared" si="0"/>
        <v>986</v>
      </c>
      <c r="G10" s="175">
        <f t="shared" si="1"/>
        <v>7.7499999999999999E-2</v>
      </c>
      <c r="H10" s="176">
        <v>0</v>
      </c>
      <c r="I10" s="168">
        <f>+I9+K10-J10</f>
        <v>122.03779177517198</v>
      </c>
      <c r="J10" s="168">
        <v>0</v>
      </c>
      <c r="K10" s="85"/>
      <c r="L10" s="38">
        <f>+YEARFRAC(E9,E10,3)*(G10)*I9</f>
        <v>0.75145188223205217</v>
      </c>
      <c r="M10" s="85">
        <f t="shared" ref="M10:M43" si="7">+L10+J10</f>
        <v>0.75145188223205217</v>
      </c>
      <c r="N10" s="177"/>
      <c r="O10" s="252">
        <f t="shared" si="3"/>
        <v>0.72195618434005815</v>
      </c>
      <c r="P10" s="253">
        <f t="shared" ref="P10:P50" si="8">O10/100</f>
        <v>7.2195618434005814E-3</v>
      </c>
      <c r="Q10" s="85"/>
      <c r="R10" s="85"/>
      <c r="S10" s="92"/>
      <c r="T10" s="92"/>
    </row>
    <row r="11" spans="1:20" ht="15" customHeight="1" x14ac:dyDescent="0.25">
      <c r="A11" s="93" t="s">
        <v>22</v>
      </c>
      <c r="B11" s="93"/>
      <c r="C11" s="103">
        <f>+SUMPRODUCT(P5:P74,F5:F74)/O4/365</f>
        <v>5.8949309310744544</v>
      </c>
      <c r="D11" s="17">
        <f t="shared" ref="D11:D43" si="9">D10+1</f>
        <v>33</v>
      </c>
      <c r="E11" s="235">
        <v>45411</v>
      </c>
      <c r="F11" s="9">
        <f t="shared" si="0"/>
        <v>1018</v>
      </c>
      <c r="G11" s="91">
        <f t="shared" si="1"/>
        <v>7.7499999999999999E-2</v>
      </c>
      <c r="H11" s="85">
        <v>0</v>
      </c>
      <c r="I11" s="6">
        <f t="shared" si="2"/>
        <v>122.03779177517198</v>
      </c>
      <c r="J11" s="6">
        <v>0</v>
      </c>
      <c r="K11" s="85"/>
      <c r="L11" s="38">
        <f>+YEARFRAC(E10,E11,3)*(G11)*I10</f>
        <v>0.82918828384226451</v>
      </c>
      <c r="M11" s="85">
        <f t="shared" si="7"/>
        <v>0.82918828384226451</v>
      </c>
      <c r="N11" s="86"/>
      <c r="O11" s="250">
        <f t="shared" si="3"/>
        <v>0.79560669518901739</v>
      </c>
      <c r="P11" s="246">
        <f t="shared" si="8"/>
        <v>7.9560669518901738E-3</v>
      </c>
      <c r="Q11" s="85"/>
      <c r="R11" s="85"/>
      <c r="S11" s="92"/>
      <c r="T11" s="92"/>
    </row>
    <row r="12" spans="1:20" ht="15" customHeight="1" x14ac:dyDescent="0.25">
      <c r="A12" s="93" t="s">
        <v>23</v>
      </c>
      <c r="B12" s="95">
        <f>+C12*365</f>
        <v>2161.2754558715792</v>
      </c>
      <c r="C12" s="103">
        <f>+SUMPRODUCT(F5:F74,M5:M74)/M75/365</f>
        <v>5.9213026188262443</v>
      </c>
      <c r="D12" s="17">
        <f t="shared" si="9"/>
        <v>34</v>
      </c>
      <c r="E12" s="235">
        <v>45440</v>
      </c>
      <c r="F12" s="9">
        <f t="shared" si="0"/>
        <v>1047</v>
      </c>
      <c r="G12" s="91">
        <f t="shared" si="1"/>
        <v>7.7499999999999999E-2</v>
      </c>
      <c r="H12" s="85">
        <v>0</v>
      </c>
      <c r="I12" s="6">
        <f t="shared" si="2"/>
        <v>122.03779177517198</v>
      </c>
      <c r="J12" s="6">
        <v>0</v>
      </c>
      <c r="K12" s="85"/>
      <c r="L12" s="38">
        <f>+YEARFRAC(E11,E12,3)*(G12)*I11</f>
        <v>0.75145188223205217</v>
      </c>
      <c r="M12" s="85">
        <f t="shared" si="7"/>
        <v>0.75145188223205217</v>
      </c>
      <c r="N12" s="86"/>
      <c r="O12" s="250">
        <f t="shared" si="3"/>
        <v>0.72016990412136206</v>
      </c>
      <c r="P12" s="246">
        <f t="shared" si="8"/>
        <v>7.2016990412136208E-3</v>
      </c>
      <c r="Q12" s="85"/>
      <c r="R12" s="85"/>
      <c r="S12" s="92"/>
      <c r="T12" s="92"/>
    </row>
    <row r="13" spans="1:20" ht="15" customHeight="1" x14ac:dyDescent="0.25">
      <c r="D13" s="17">
        <f t="shared" si="9"/>
        <v>35</v>
      </c>
      <c r="E13" s="235">
        <v>45471</v>
      </c>
      <c r="F13" s="9">
        <f t="shared" si="0"/>
        <v>1078</v>
      </c>
      <c r="G13" s="91">
        <f t="shared" si="1"/>
        <v>7.7499999999999999E-2</v>
      </c>
      <c r="H13" s="85">
        <v>0</v>
      </c>
      <c r="I13" s="6">
        <f t="shared" si="2"/>
        <v>122.03779177517198</v>
      </c>
      <c r="J13" s="6">
        <v>0</v>
      </c>
      <c r="K13" s="85"/>
      <c r="L13" s="38">
        <f t="shared" ref="L13:L73" si="10">+YEARFRAC(E12,E13,3)*(G13)*I12</f>
        <v>0.80327614997219365</v>
      </c>
      <c r="M13" s="85">
        <f t="shared" si="7"/>
        <v>0.80327614997219365</v>
      </c>
      <c r="N13" s="86"/>
      <c r="O13" s="250">
        <f t="shared" si="3"/>
        <v>0.76886821796306792</v>
      </c>
      <c r="P13" s="246">
        <f t="shared" si="8"/>
        <v>7.6886821796306789E-3</v>
      </c>
      <c r="Q13" s="85"/>
      <c r="R13" s="85"/>
      <c r="S13" s="92"/>
      <c r="T13" s="92"/>
    </row>
    <row r="14" spans="1:20" ht="15" customHeight="1" x14ac:dyDescent="0.25">
      <c r="D14" s="17">
        <f t="shared" si="9"/>
        <v>36</v>
      </c>
      <c r="E14" s="235">
        <v>45502</v>
      </c>
      <c r="F14" s="9">
        <f t="shared" si="0"/>
        <v>1109</v>
      </c>
      <c r="G14" s="91">
        <f t="shared" si="1"/>
        <v>7.7499999999999999E-2</v>
      </c>
      <c r="H14" s="85">
        <v>0</v>
      </c>
      <c r="I14" s="6">
        <f t="shared" si="2"/>
        <v>122.03779177517198</v>
      </c>
      <c r="J14" s="6">
        <v>0</v>
      </c>
      <c r="K14" s="85"/>
      <c r="L14" s="38">
        <f>+YEARFRAC(E13,E14,3)*(G14)*I13</f>
        <v>0.80327614997219365</v>
      </c>
      <c r="M14" s="85">
        <f t="shared" si="7"/>
        <v>0.80327614997219365</v>
      </c>
      <c r="N14" s="86"/>
      <c r="O14" s="250">
        <f t="shared" si="3"/>
        <v>0.76790086048685435</v>
      </c>
      <c r="P14" s="246">
        <f t="shared" si="8"/>
        <v>7.6790086048685435E-3</v>
      </c>
      <c r="R14" s="85"/>
    </row>
    <row r="15" spans="1:20" ht="15" customHeight="1" x14ac:dyDescent="0.25">
      <c r="D15" s="17">
        <f t="shared" si="9"/>
        <v>37</v>
      </c>
      <c r="E15" s="235">
        <v>45532</v>
      </c>
      <c r="F15" s="9">
        <f t="shared" si="0"/>
        <v>1139</v>
      </c>
      <c r="G15" s="91">
        <f t="shared" si="1"/>
        <v>7.7499999999999999E-2</v>
      </c>
      <c r="H15" s="85">
        <v>0</v>
      </c>
      <c r="I15" s="6">
        <f t="shared" si="2"/>
        <v>122.03779177517198</v>
      </c>
      <c r="J15" s="6">
        <v>0</v>
      </c>
      <c r="K15" s="85"/>
      <c r="L15" s="38">
        <f t="shared" si="10"/>
        <v>0.77736401610212291</v>
      </c>
      <c r="M15" s="85">
        <f t="shared" si="7"/>
        <v>0.77736401610212291</v>
      </c>
      <c r="N15" s="86"/>
      <c r="O15" s="250">
        <f t="shared" si="3"/>
        <v>0.74222503251903915</v>
      </c>
      <c r="P15" s="246">
        <f t="shared" si="8"/>
        <v>7.4222503251903911E-3</v>
      </c>
    </row>
    <row r="16" spans="1:20" ht="15" customHeight="1" x14ac:dyDescent="0.25">
      <c r="D16" s="17">
        <f t="shared" si="9"/>
        <v>38</v>
      </c>
      <c r="E16" s="235">
        <v>45565</v>
      </c>
      <c r="F16" s="9">
        <f t="shared" si="0"/>
        <v>1172</v>
      </c>
      <c r="G16" s="91">
        <f t="shared" si="1"/>
        <v>7.7499999999999999E-2</v>
      </c>
      <c r="H16" s="85">
        <v>0</v>
      </c>
      <c r="I16" s="6">
        <f t="shared" si="2"/>
        <v>122.03779177517198</v>
      </c>
      <c r="J16" s="6">
        <v>0</v>
      </c>
      <c r="K16" s="85"/>
      <c r="L16" s="38">
        <f t="shared" si="10"/>
        <v>0.85510041771233525</v>
      </c>
      <c r="M16" s="85">
        <f t="shared" si="7"/>
        <v>0.85510041771233525</v>
      </c>
      <c r="N16" s="86"/>
      <c r="O16" s="250">
        <f t="shared" si="3"/>
        <v>0.81535408816410837</v>
      </c>
      <c r="P16" s="246">
        <f t="shared" si="8"/>
        <v>8.1535408816410838E-3</v>
      </c>
    </row>
    <row r="17" spans="1:16" ht="15" customHeight="1" x14ac:dyDescent="0.25">
      <c r="A17" s="96"/>
      <c r="B17" s="96"/>
      <c r="C17" s="96"/>
      <c r="D17" s="17">
        <f t="shared" si="9"/>
        <v>39</v>
      </c>
      <c r="E17" s="235">
        <v>45593</v>
      </c>
      <c r="F17" s="9">
        <f t="shared" si="0"/>
        <v>1200</v>
      </c>
      <c r="G17" s="91">
        <f t="shared" si="1"/>
        <v>7.7499999999999999E-2</v>
      </c>
      <c r="H17" s="85">
        <v>0</v>
      </c>
      <c r="I17" s="6">
        <f t="shared" si="2"/>
        <v>122.03779177517198</v>
      </c>
      <c r="J17" s="6">
        <v>0</v>
      </c>
      <c r="K17" s="85"/>
      <c r="L17" s="38">
        <f t="shared" si="10"/>
        <v>0.72553974836198132</v>
      </c>
      <c r="M17" s="85">
        <f t="shared" si="7"/>
        <v>0.72553974836198132</v>
      </c>
      <c r="N17" s="86"/>
      <c r="O17" s="250">
        <f t="shared" si="3"/>
        <v>0.69102936248322278</v>
      </c>
      <c r="P17" s="246">
        <f t="shared" si="8"/>
        <v>6.9102936248322281E-3</v>
      </c>
    </row>
    <row r="18" spans="1:16" ht="15" customHeight="1" x14ac:dyDescent="0.25">
      <c r="D18" s="17">
        <f t="shared" si="9"/>
        <v>40</v>
      </c>
      <c r="E18" s="235">
        <v>45624</v>
      </c>
      <c r="F18" s="9">
        <f t="shared" si="0"/>
        <v>1231</v>
      </c>
      <c r="G18" s="91">
        <f t="shared" si="1"/>
        <v>7.7499999999999999E-2</v>
      </c>
      <c r="H18" s="85">
        <v>0</v>
      </c>
      <c r="I18" s="6">
        <f t="shared" si="2"/>
        <v>122.03779177517198</v>
      </c>
      <c r="J18" s="6">
        <v>0</v>
      </c>
      <c r="K18" s="85"/>
      <c r="L18" s="38">
        <f t="shared" si="10"/>
        <v>0.80327614997219365</v>
      </c>
      <c r="M18" s="85">
        <f t="shared" si="7"/>
        <v>0.80327614997219365</v>
      </c>
      <c r="N18" s="86"/>
      <c r="O18" s="250">
        <f t="shared" si="3"/>
        <v>0.76410564626634414</v>
      </c>
      <c r="P18" s="246">
        <f t="shared" si="8"/>
        <v>7.6410564626634416E-3</v>
      </c>
    </row>
    <row r="19" spans="1:16" ht="15" customHeight="1" x14ac:dyDescent="0.25">
      <c r="D19" s="17">
        <f t="shared" si="9"/>
        <v>41</v>
      </c>
      <c r="E19" s="235">
        <v>45656</v>
      </c>
      <c r="F19" s="9">
        <f t="shared" si="0"/>
        <v>1263</v>
      </c>
      <c r="G19" s="91">
        <f t="shared" si="1"/>
        <v>7.7499999999999999E-2</v>
      </c>
      <c r="H19" s="85">
        <v>0</v>
      </c>
      <c r="I19" s="6">
        <f t="shared" si="2"/>
        <v>122.03779177517198</v>
      </c>
      <c r="J19" s="6">
        <v>0</v>
      </c>
      <c r="K19" s="85"/>
      <c r="L19" s="38">
        <f t="shared" si="10"/>
        <v>0.82918828384226451</v>
      </c>
      <c r="M19" s="85">
        <f t="shared" si="7"/>
        <v>0.82918828384226451</v>
      </c>
      <c r="N19" s="86"/>
      <c r="O19" s="250">
        <f t="shared" si="3"/>
        <v>0.78772984693199322</v>
      </c>
      <c r="P19" s="246">
        <f t="shared" si="8"/>
        <v>7.8772984693199315E-3</v>
      </c>
    </row>
    <row r="20" spans="1:16" ht="15" customHeight="1" x14ac:dyDescent="0.25">
      <c r="A20" s="34">
        <v>32</v>
      </c>
      <c r="B20" s="34">
        <v>6</v>
      </c>
      <c r="D20" s="17">
        <f t="shared" si="9"/>
        <v>42</v>
      </c>
      <c r="E20" s="235">
        <v>45685</v>
      </c>
      <c r="F20" s="9">
        <f t="shared" si="0"/>
        <v>1292</v>
      </c>
      <c r="G20" s="91">
        <f t="shared" si="1"/>
        <v>7.7499999999999999E-2</v>
      </c>
      <c r="H20" s="85">
        <v>0</v>
      </c>
      <c r="I20" s="6">
        <f t="shared" si="2"/>
        <v>122.03779177517198</v>
      </c>
      <c r="J20" s="6">
        <v>0</v>
      </c>
      <c r="K20" s="85"/>
      <c r="L20" s="38">
        <f t="shared" si="10"/>
        <v>0.75145188223205217</v>
      </c>
      <c r="M20" s="85">
        <f t="shared" si="7"/>
        <v>0.75145188223205217</v>
      </c>
      <c r="N20" s="86"/>
      <c r="O20" s="250">
        <f t="shared" si="3"/>
        <v>0.71303991252081134</v>
      </c>
      <c r="P20" s="246">
        <f t="shared" si="8"/>
        <v>7.1303991252081138E-3</v>
      </c>
    </row>
    <row r="21" spans="1:16" ht="15" customHeight="1" x14ac:dyDescent="0.25">
      <c r="A21" s="155">
        <f>D74-A20</f>
        <v>64</v>
      </c>
      <c r="B21" s="34">
        <v>12</v>
      </c>
      <c r="D21" s="17">
        <f t="shared" si="9"/>
        <v>43</v>
      </c>
      <c r="E21" s="235">
        <v>45716</v>
      </c>
      <c r="F21" s="9">
        <f t="shared" si="0"/>
        <v>1323</v>
      </c>
      <c r="G21" s="91">
        <f t="shared" si="1"/>
        <v>7.7499999999999999E-2</v>
      </c>
      <c r="H21" s="85">
        <v>0</v>
      </c>
      <c r="I21" s="6">
        <f t="shared" si="2"/>
        <v>122.03779177517198</v>
      </c>
      <c r="J21" s="6">
        <v>0</v>
      </c>
      <c r="K21" s="85"/>
      <c r="L21" s="38">
        <f t="shared" si="10"/>
        <v>0.80327614997219365</v>
      </c>
      <c r="M21" s="85">
        <f t="shared" si="7"/>
        <v>0.80327614997219365</v>
      </c>
      <c r="N21" s="86"/>
      <c r="O21" s="250">
        <f t="shared" si="3"/>
        <v>0.76125609212354761</v>
      </c>
      <c r="P21" s="246">
        <f t="shared" si="8"/>
        <v>7.6125609212354759E-3</v>
      </c>
    </row>
    <row r="22" spans="1:16" ht="15" customHeight="1" x14ac:dyDescent="0.25">
      <c r="A22" s="34"/>
      <c r="B22" s="34"/>
      <c r="D22" s="17">
        <f t="shared" si="9"/>
        <v>44</v>
      </c>
      <c r="E22" s="235">
        <v>45744</v>
      </c>
      <c r="F22" s="9">
        <f t="shared" si="0"/>
        <v>1351</v>
      </c>
      <c r="G22" s="91">
        <f t="shared" si="1"/>
        <v>7.7499999999999999E-2</v>
      </c>
      <c r="H22" s="85">
        <v>0</v>
      </c>
      <c r="I22" s="6">
        <f t="shared" si="2"/>
        <v>122.03779177517198</v>
      </c>
      <c r="J22" s="6">
        <v>0</v>
      </c>
      <c r="K22" s="85"/>
      <c r="L22" s="38">
        <f t="shared" si="10"/>
        <v>0.72553974836198132</v>
      </c>
      <c r="M22" s="85">
        <f t="shared" si="7"/>
        <v>0.72553974836198132</v>
      </c>
      <c r="N22" s="86"/>
      <c r="O22" s="250">
        <f t="shared" si="3"/>
        <v>0.68680472688334937</v>
      </c>
      <c r="P22" s="246">
        <f t="shared" si="8"/>
        <v>6.868047268833494E-3</v>
      </c>
    </row>
    <row r="23" spans="1:16" ht="15" customHeight="1" x14ac:dyDescent="0.25">
      <c r="A23" s="34">
        <f>A20*B20+A21*B21</f>
        <v>960</v>
      </c>
      <c r="B23" s="34"/>
      <c r="D23" s="17">
        <f t="shared" si="9"/>
        <v>45</v>
      </c>
      <c r="E23" s="235">
        <v>45775</v>
      </c>
      <c r="F23" s="9">
        <f t="shared" si="0"/>
        <v>1382</v>
      </c>
      <c r="G23" s="91">
        <f t="shared" si="1"/>
        <v>7.7499999999999999E-2</v>
      </c>
      <c r="H23" s="85">
        <v>0</v>
      </c>
      <c r="I23" s="6">
        <f t="shared" si="2"/>
        <v>122.03779177517198</v>
      </c>
      <c r="J23" s="6">
        <v>0</v>
      </c>
      <c r="K23" s="85"/>
      <c r="L23" s="38">
        <f t="shared" si="10"/>
        <v>0.80327614997219365</v>
      </c>
      <c r="M23" s="85">
        <f t="shared" si="7"/>
        <v>0.80327614997219365</v>
      </c>
      <c r="N23" s="86"/>
      <c r="O23" s="250">
        <f t="shared" si="3"/>
        <v>0.75943425588767632</v>
      </c>
      <c r="P23" s="246">
        <f t="shared" si="8"/>
        <v>7.594342558876763E-3</v>
      </c>
    </row>
    <row r="24" spans="1:16" ht="15" customHeight="1" x14ac:dyDescent="0.25">
      <c r="A24" s="34">
        <f>A23/(A20+A21)</f>
        <v>10</v>
      </c>
      <c r="B24" s="34"/>
      <c r="D24" s="17">
        <f t="shared" si="9"/>
        <v>46</v>
      </c>
      <c r="E24" s="235">
        <v>45805</v>
      </c>
      <c r="F24" s="9">
        <f t="shared" si="0"/>
        <v>1412</v>
      </c>
      <c r="G24" s="91">
        <f t="shared" si="1"/>
        <v>7.7499999999999999E-2</v>
      </c>
      <c r="H24" s="85">
        <v>0</v>
      </c>
      <c r="I24" s="6">
        <f t="shared" si="2"/>
        <v>122.03779177517198</v>
      </c>
      <c r="J24" s="6">
        <v>0</v>
      </c>
      <c r="K24" s="85"/>
      <c r="L24" s="38">
        <f t="shared" si="10"/>
        <v>0.77736401610212291</v>
      </c>
      <c r="M24" s="85">
        <f t="shared" si="7"/>
        <v>0.77736401610212291</v>
      </c>
      <c r="N24" s="86"/>
      <c r="O24" s="250">
        <f t="shared" si="3"/>
        <v>0.73404152056156258</v>
      </c>
      <c r="P24" s="246">
        <f t="shared" si="8"/>
        <v>7.3404152056156255E-3</v>
      </c>
    </row>
    <row r="25" spans="1:16" ht="15" customHeight="1" x14ac:dyDescent="0.25">
      <c r="D25" s="17">
        <f t="shared" si="9"/>
        <v>47</v>
      </c>
      <c r="E25" s="235">
        <v>45838</v>
      </c>
      <c r="F25" s="9">
        <f t="shared" si="0"/>
        <v>1445</v>
      </c>
      <c r="G25" s="91">
        <f t="shared" si="1"/>
        <v>7.7499999999999999E-2</v>
      </c>
      <c r="H25" s="85">
        <v>0</v>
      </c>
      <c r="I25" s="6">
        <f t="shared" si="2"/>
        <v>122.03779177517198</v>
      </c>
      <c r="J25" s="6">
        <v>0</v>
      </c>
      <c r="K25" s="85"/>
      <c r="L25" s="150">
        <f t="shared" si="10"/>
        <v>0.85510041771233525</v>
      </c>
      <c r="M25" s="85">
        <f t="shared" si="7"/>
        <v>0.85510041771233525</v>
      </c>
      <c r="N25" s="86"/>
      <c r="O25" s="251">
        <f t="shared" si="3"/>
        <v>0.80636428097932122</v>
      </c>
      <c r="P25" s="246">
        <f t="shared" si="8"/>
        <v>8.0636428097932127E-3</v>
      </c>
    </row>
    <row r="26" spans="1:16" ht="15" customHeight="1" x14ac:dyDescent="0.25">
      <c r="D26" s="97">
        <f t="shared" si="9"/>
        <v>48</v>
      </c>
      <c r="E26" s="236">
        <v>45866</v>
      </c>
      <c r="F26" s="61">
        <f t="shared" si="0"/>
        <v>1473</v>
      </c>
      <c r="G26" s="98">
        <f t="shared" si="1"/>
        <v>7.7499999999999999E-2</v>
      </c>
      <c r="H26" s="99">
        <v>0</v>
      </c>
      <c r="I26" s="62">
        <f t="shared" si="2"/>
        <v>122.03779177517198</v>
      </c>
      <c r="J26" s="62">
        <v>0</v>
      </c>
      <c r="K26" s="99"/>
      <c r="L26" s="151">
        <f t="shared" si="10"/>
        <v>0.72553974836198132</v>
      </c>
      <c r="M26" s="99">
        <f t="shared" si="7"/>
        <v>0.72553974836198132</v>
      </c>
      <c r="N26" s="152"/>
      <c r="O26" s="254">
        <f t="shared" si="3"/>
        <v>0.68341031596352209</v>
      </c>
      <c r="P26" s="255">
        <f t="shared" si="8"/>
        <v>6.8341031596352211E-3</v>
      </c>
    </row>
    <row r="27" spans="1:16" ht="15" customHeight="1" x14ac:dyDescent="0.25">
      <c r="D27" s="17">
        <f t="shared" si="9"/>
        <v>49</v>
      </c>
      <c r="E27" s="235">
        <v>45897</v>
      </c>
      <c r="F27" s="9">
        <f t="shared" si="0"/>
        <v>1504</v>
      </c>
      <c r="G27" s="91">
        <f t="shared" si="1"/>
        <v>7.7499999999999999E-2</v>
      </c>
      <c r="H27" s="85">
        <v>1.38</v>
      </c>
      <c r="I27" s="6">
        <f>+I26+K27-J27</f>
        <v>120.3536702486746</v>
      </c>
      <c r="J27" s="6">
        <f t="shared" ref="J27:J74" si="11">H27/100*$I$10</f>
        <v>1.6841215264973732</v>
      </c>
      <c r="K27" s="85"/>
      <c r="L27" s="38">
        <f t="shared" si="10"/>
        <v>0.80327614997219365</v>
      </c>
      <c r="M27" s="85">
        <f t="shared" si="7"/>
        <v>2.4873976764695671</v>
      </c>
      <c r="N27" s="86"/>
      <c r="O27" s="250">
        <f t="shared" si="3"/>
        <v>2.3400157977522706</v>
      </c>
      <c r="P27" s="246">
        <f t="shared" si="8"/>
        <v>2.3400157977522706E-2</v>
      </c>
    </row>
    <row r="28" spans="1:16" ht="15" customHeight="1" x14ac:dyDescent="0.25">
      <c r="D28" s="17">
        <f t="shared" si="9"/>
        <v>50</v>
      </c>
      <c r="E28" s="235">
        <v>45929</v>
      </c>
      <c r="F28" s="9">
        <f t="shared" si="0"/>
        <v>1536</v>
      </c>
      <c r="G28" s="91">
        <f t="shared" si="1"/>
        <v>7.7499999999999999E-2</v>
      </c>
      <c r="H28" s="85">
        <v>1.39</v>
      </c>
      <c r="I28" s="6">
        <f t="shared" si="2"/>
        <v>118.65734494299971</v>
      </c>
      <c r="J28" s="6">
        <f t="shared" si="11"/>
        <v>1.6963253056748904</v>
      </c>
      <c r="K28" s="85"/>
      <c r="L28" s="38">
        <f t="shared" si="10"/>
        <v>0.81774548552524118</v>
      </c>
      <c r="M28" s="85">
        <f t="shared" si="7"/>
        <v>2.5140707912001314</v>
      </c>
      <c r="N28" s="86"/>
      <c r="O28" s="250">
        <f t="shared" si="3"/>
        <v>2.3620368854052773</v>
      </c>
      <c r="P28" s="246">
        <f t="shared" si="8"/>
        <v>2.3620368854052772E-2</v>
      </c>
    </row>
    <row r="29" spans="1:16" ht="15" customHeight="1" x14ac:dyDescent="0.25">
      <c r="D29" s="17">
        <f t="shared" si="9"/>
        <v>51</v>
      </c>
      <c r="E29" s="235">
        <v>45958</v>
      </c>
      <c r="F29" s="9">
        <f t="shared" si="0"/>
        <v>1565</v>
      </c>
      <c r="G29" s="91">
        <f t="shared" si="1"/>
        <v>7.7499999999999999E-2</v>
      </c>
      <c r="H29" s="85">
        <v>1.41</v>
      </c>
      <c r="I29" s="6">
        <f t="shared" si="2"/>
        <v>116.93661207896979</v>
      </c>
      <c r="J29" s="6">
        <f t="shared" si="11"/>
        <v>1.7207328640299249</v>
      </c>
      <c r="K29" s="85"/>
      <c r="L29" s="38">
        <f t="shared" si="10"/>
        <v>0.73063666509422431</v>
      </c>
      <c r="M29" s="85">
        <f t="shared" si="7"/>
        <v>2.4513695291241491</v>
      </c>
      <c r="N29" s="86"/>
      <c r="O29" s="250">
        <f t="shared" si="3"/>
        <v>2.3004165099915519</v>
      </c>
      <c r="P29" s="246">
        <f t="shared" si="8"/>
        <v>2.300416509991552E-2</v>
      </c>
    </row>
    <row r="30" spans="1:16" ht="12.75" x14ac:dyDescent="0.25">
      <c r="D30" s="17">
        <f t="shared" si="9"/>
        <v>52</v>
      </c>
      <c r="E30" s="235">
        <v>45989</v>
      </c>
      <c r="F30" s="9">
        <f t="shared" si="0"/>
        <v>1596</v>
      </c>
      <c r="G30" s="91">
        <f t="shared" si="1"/>
        <v>7.7499999999999999E-2</v>
      </c>
      <c r="H30" s="85">
        <v>1.4</v>
      </c>
      <c r="I30" s="6">
        <f t="shared" si="2"/>
        <v>115.22808299411739</v>
      </c>
      <c r="J30" s="6">
        <f t="shared" si="11"/>
        <v>1.7085290848524075</v>
      </c>
      <c r="K30" s="85"/>
      <c r="L30" s="38">
        <f t="shared" si="10"/>
        <v>0.76969920690335591</v>
      </c>
      <c r="M30" s="85">
        <f t="shared" si="7"/>
        <v>2.4782282917557632</v>
      </c>
      <c r="N30" s="86"/>
      <c r="O30" s="250">
        <f t="shared" si="3"/>
        <v>2.3226953369879393</v>
      </c>
      <c r="P30" s="246">
        <f t="shared" si="8"/>
        <v>2.3226953369879393E-2</v>
      </c>
    </row>
    <row r="31" spans="1:16" ht="12.75" x14ac:dyDescent="0.25">
      <c r="D31" s="17">
        <f t="shared" si="9"/>
        <v>53</v>
      </c>
      <c r="E31" s="235">
        <v>46020</v>
      </c>
      <c r="F31" s="9">
        <f t="shared" si="0"/>
        <v>1627</v>
      </c>
      <c r="G31" s="91">
        <f t="shared" si="1"/>
        <v>7.7499999999999999E-2</v>
      </c>
      <c r="H31" s="85">
        <v>1.43</v>
      </c>
      <c r="I31" s="6">
        <f t="shared" si="2"/>
        <v>113.48294257173242</v>
      </c>
      <c r="J31" s="6">
        <f t="shared" si="11"/>
        <v>1.7451404223849594</v>
      </c>
      <c r="K31" s="85"/>
      <c r="L31" s="38">
        <f t="shared" si="10"/>
        <v>0.75845334080374527</v>
      </c>
      <c r="M31" s="85">
        <f t="shared" si="7"/>
        <v>2.5035937631887046</v>
      </c>
      <c r="N31" s="86"/>
      <c r="O31" s="250">
        <f t="shared" si="3"/>
        <v>2.3435166502059079</v>
      </c>
      <c r="P31" s="246">
        <f t="shared" si="8"/>
        <v>2.3435166502059079E-2</v>
      </c>
    </row>
    <row r="32" spans="1:16" ht="12.75" x14ac:dyDescent="0.25">
      <c r="D32" s="17">
        <f t="shared" si="9"/>
        <v>54</v>
      </c>
      <c r="E32" s="235">
        <v>46050</v>
      </c>
      <c r="F32" s="9">
        <f t="shared" si="0"/>
        <v>1657</v>
      </c>
      <c r="G32" s="91">
        <f t="shared" si="1"/>
        <v>7.7499999999999999E-2</v>
      </c>
      <c r="H32" s="85">
        <v>1.42</v>
      </c>
      <c r="I32" s="6">
        <f t="shared" si="2"/>
        <v>111.75000592852498</v>
      </c>
      <c r="J32" s="6">
        <f t="shared" si="11"/>
        <v>1.732936643207442</v>
      </c>
      <c r="K32" s="85"/>
      <c r="L32" s="38">
        <f t="shared" si="10"/>
        <v>0.722870798573364</v>
      </c>
      <c r="M32" s="85">
        <f t="shared" si="7"/>
        <v>2.4558074417808058</v>
      </c>
      <c r="N32" s="86"/>
      <c r="O32" s="250">
        <f t="shared" si="3"/>
        <v>2.2959867412678685</v>
      </c>
      <c r="P32" s="246">
        <f t="shared" si="8"/>
        <v>2.2959867412678685E-2</v>
      </c>
    </row>
    <row r="33" spans="4:16" ht="12.75" x14ac:dyDescent="0.25">
      <c r="D33" s="17">
        <f t="shared" si="9"/>
        <v>55</v>
      </c>
      <c r="E33" s="235">
        <v>46083</v>
      </c>
      <c r="F33" s="9">
        <f t="shared" si="0"/>
        <v>1690</v>
      </c>
      <c r="G33" s="91">
        <f t="shared" si="1"/>
        <v>7.7499999999999999E-2</v>
      </c>
      <c r="H33" s="85">
        <v>1.43</v>
      </c>
      <c r="I33" s="6">
        <f t="shared" si="2"/>
        <v>110.00486550614002</v>
      </c>
      <c r="J33" s="6">
        <f t="shared" si="11"/>
        <v>1.7451404223849594</v>
      </c>
      <c r="K33" s="85"/>
      <c r="L33" s="38">
        <f t="shared" si="10"/>
        <v>0.78301545249918536</v>
      </c>
      <c r="M33" s="85">
        <f t="shared" si="7"/>
        <v>2.5281558748841446</v>
      </c>
      <c r="N33" s="86"/>
      <c r="O33" s="250">
        <f t="shared" si="3"/>
        <v>2.3604612881797031</v>
      </c>
      <c r="P33" s="246">
        <f t="shared" si="8"/>
        <v>2.3604612881797032E-2</v>
      </c>
    </row>
    <row r="34" spans="4:16" ht="12.75" x14ac:dyDescent="0.25">
      <c r="D34" s="17">
        <f t="shared" si="9"/>
        <v>56</v>
      </c>
      <c r="E34" s="235">
        <v>46111</v>
      </c>
      <c r="F34" s="9">
        <f t="shared" si="0"/>
        <v>1718</v>
      </c>
      <c r="G34" s="91">
        <f t="shared" si="1"/>
        <v>7.7499999999999999E-2</v>
      </c>
      <c r="H34" s="85">
        <v>1.49</v>
      </c>
      <c r="I34" s="6">
        <f t="shared" si="2"/>
        <v>108.18650240868996</v>
      </c>
      <c r="J34" s="6">
        <f t="shared" si="11"/>
        <v>1.8183630974500626</v>
      </c>
      <c r="K34" s="85"/>
      <c r="L34" s="38">
        <f>+YEARFRAC(E33,E34,3)*(G34)*I33</f>
        <v>0.65400152917348997</v>
      </c>
      <c r="M34" s="85">
        <f t="shared" si="7"/>
        <v>2.4723646266235528</v>
      </c>
      <c r="N34" s="86"/>
      <c r="O34" s="250">
        <f t="shared" si="3"/>
        <v>2.3057473242803117</v>
      </c>
      <c r="P34" s="246">
        <f t="shared" si="8"/>
        <v>2.3057473242803116E-2</v>
      </c>
    </row>
    <row r="35" spans="4:16" ht="12.75" x14ac:dyDescent="0.25">
      <c r="D35" s="17">
        <f t="shared" si="9"/>
        <v>57</v>
      </c>
      <c r="E35" s="235">
        <v>46140</v>
      </c>
      <c r="F35" s="9">
        <f t="shared" si="0"/>
        <v>1747</v>
      </c>
      <c r="G35" s="91">
        <f t="shared" si="1"/>
        <v>7.7499999999999999E-2</v>
      </c>
      <c r="H35" s="85">
        <v>1.45</v>
      </c>
      <c r="I35" s="6">
        <f t="shared" si="2"/>
        <v>106.41695442794996</v>
      </c>
      <c r="J35" s="6">
        <f t="shared" si="11"/>
        <v>1.7695479807399936</v>
      </c>
      <c r="K35" s="85"/>
      <c r="L35" s="38">
        <f t="shared" si="10"/>
        <v>0.66616209359871426</v>
      </c>
      <c r="M35" s="85">
        <f t="shared" si="7"/>
        <v>2.4357100743387079</v>
      </c>
      <c r="N35" s="86"/>
      <c r="O35" s="250">
        <f t="shared" si="3"/>
        <v>2.2688892842629329</v>
      </c>
      <c r="P35" s="246">
        <f t="shared" si="8"/>
        <v>2.268889284262933E-2</v>
      </c>
    </row>
    <row r="36" spans="4:16" ht="12.75" x14ac:dyDescent="0.25">
      <c r="D36" s="17">
        <f t="shared" si="9"/>
        <v>58</v>
      </c>
      <c r="E36" s="235">
        <v>46170</v>
      </c>
      <c r="F36" s="9">
        <f t="shared" si="0"/>
        <v>1777</v>
      </c>
      <c r="G36" s="91">
        <f t="shared" si="1"/>
        <v>7.7499999999999999E-2</v>
      </c>
      <c r="H36" s="85">
        <v>1.48</v>
      </c>
      <c r="I36" s="6">
        <f t="shared" si="2"/>
        <v>104.61079510967741</v>
      </c>
      <c r="J36" s="6">
        <f t="shared" si="11"/>
        <v>1.8061593182725455</v>
      </c>
      <c r="K36" s="85"/>
      <c r="L36" s="38">
        <f t="shared" si="10"/>
        <v>0.67786142204105104</v>
      </c>
      <c r="M36" s="85">
        <f t="shared" si="7"/>
        <v>2.4840207403135963</v>
      </c>
      <c r="N36" s="86"/>
      <c r="O36" s="250">
        <f t="shared" si="3"/>
        <v>2.3110737861727855</v>
      </c>
      <c r="P36" s="246">
        <f t="shared" si="8"/>
        <v>2.3110737861727855E-2</v>
      </c>
    </row>
    <row r="37" spans="4:16" ht="12.75" x14ac:dyDescent="0.25">
      <c r="D37" s="17">
        <f t="shared" si="9"/>
        <v>59</v>
      </c>
      <c r="E37" s="235">
        <v>46202</v>
      </c>
      <c r="F37" s="9">
        <f t="shared" si="0"/>
        <v>1809</v>
      </c>
      <c r="G37" s="91">
        <f t="shared" si="1"/>
        <v>7.7499999999999999E-2</v>
      </c>
      <c r="H37" s="85">
        <v>1.47</v>
      </c>
      <c r="I37" s="6">
        <f t="shared" si="2"/>
        <v>102.81683957058239</v>
      </c>
      <c r="J37" s="6">
        <f t="shared" si="11"/>
        <v>1.7939555390950281</v>
      </c>
      <c r="K37" s="85"/>
      <c r="L37" s="38">
        <f t="shared" si="10"/>
        <v>0.71078019690958905</v>
      </c>
      <c r="M37" s="85">
        <f t="shared" si="7"/>
        <v>2.5047357360046174</v>
      </c>
      <c r="N37" s="86"/>
      <c r="O37" s="250">
        <f t="shared" ref="O37:O69" si="12">+M37/((1+G37)^(F37/$F$38))</f>
        <v>2.3273200643963001</v>
      </c>
      <c r="P37" s="246">
        <f t="shared" si="8"/>
        <v>2.3273200643963002E-2</v>
      </c>
    </row>
    <row r="38" spans="4:16" ht="12.75" x14ac:dyDescent="0.25">
      <c r="D38" s="17">
        <f t="shared" si="9"/>
        <v>60</v>
      </c>
      <c r="E38" s="235">
        <v>46231</v>
      </c>
      <c r="F38" s="9">
        <f t="shared" si="0"/>
        <v>1838</v>
      </c>
      <c r="G38" s="91">
        <f t="shared" si="1"/>
        <v>7.7499999999999999E-2</v>
      </c>
      <c r="H38" s="85">
        <v>1.49</v>
      </c>
      <c r="I38" s="6">
        <f t="shared" si="2"/>
        <v>100.99847647313233</v>
      </c>
      <c r="J38" s="6">
        <f t="shared" si="11"/>
        <v>1.8183630974500626</v>
      </c>
      <c r="K38" s="85"/>
      <c r="L38" s="38">
        <f t="shared" si="10"/>
        <v>0.63309821078050388</v>
      </c>
      <c r="M38" s="85">
        <f t="shared" si="7"/>
        <v>2.4514613082305665</v>
      </c>
      <c r="N38" s="86"/>
      <c r="O38" s="250">
        <f t="shared" si="12"/>
        <v>2.275138105086373</v>
      </c>
      <c r="P38" s="246">
        <f t="shared" si="8"/>
        <v>2.2751381050863731E-2</v>
      </c>
    </row>
    <row r="39" spans="4:16" ht="12.75" x14ac:dyDescent="0.25">
      <c r="D39" s="17">
        <f t="shared" si="9"/>
        <v>61</v>
      </c>
      <c r="E39" s="235">
        <v>46262</v>
      </c>
      <c r="F39" s="9">
        <f t="shared" si="0"/>
        <v>1869</v>
      </c>
      <c r="G39" s="91">
        <f t="shared" si="1"/>
        <v>7.7499999999999999E-2</v>
      </c>
      <c r="H39" s="85">
        <v>2.0499999999999998</v>
      </c>
      <c r="I39" s="6">
        <f t="shared" si="2"/>
        <v>98.496701741741305</v>
      </c>
      <c r="J39" s="6">
        <f t="shared" si="11"/>
        <v>2.5017747313910252</v>
      </c>
      <c r="K39" s="85"/>
      <c r="L39" s="38">
        <f t="shared" si="10"/>
        <v>0.66479134171698739</v>
      </c>
      <c r="M39" s="85">
        <f t="shared" si="7"/>
        <v>3.1665660731080125</v>
      </c>
      <c r="N39" s="86"/>
      <c r="O39" s="250">
        <f t="shared" si="12"/>
        <v>2.9351109360461183</v>
      </c>
      <c r="P39" s="246">
        <f t="shared" si="8"/>
        <v>2.9351109360461182E-2</v>
      </c>
    </row>
    <row r="40" spans="4:16" ht="12.75" x14ac:dyDescent="0.25">
      <c r="D40" s="17">
        <f t="shared" si="9"/>
        <v>62</v>
      </c>
      <c r="E40" s="235">
        <v>46293</v>
      </c>
      <c r="F40" s="9">
        <f t="shared" si="0"/>
        <v>1900</v>
      </c>
      <c r="G40" s="91">
        <f t="shared" si="1"/>
        <v>7.7499999999999999E-2</v>
      </c>
      <c r="H40" s="85">
        <v>2.06</v>
      </c>
      <c r="I40" s="6">
        <f t="shared" si="2"/>
        <v>95.982723231172756</v>
      </c>
      <c r="J40" s="6">
        <f t="shared" si="11"/>
        <v>2.5139785105685428</v>
      </c>
      <c r="K40" s="85"/>
      <c r="L40" s="38">
        <f t="shared" si="10"/>
        <v>0.64832418064255748</v>
      </c>
      <c r="M40" s="85">
        <f t="shared" si="7"/>
        <v>3.1623026912111003</v>
      </c>
      <c r="N40" s="86"/>
      <c r="O40" s="250">
        <f t="shared" si="12"/>
        <v>2.9274713187836059</v>
      </c>
      <c r="P40" s="246">
        <f t="shared" si="8"/>
        <v>2.927471318783606E-2</v>
      </c>
    </row>
    <row r="41" spans="4:16" ht="12.75" x14ac:dyDescent="0.25">
      <c r="D41" s="17">
        <f t="shared" si="9"/>
        <v>63</v>
      </c>
      <c r="E41" s="235">
        <v>46323</v>
      </c>
      <c r="F41" s="9">
        <f t="shared" si="0"/>
        <v>1930</v>
      </c>
      <c r="G41" s="91">
        <f t="shared" si="1"/>
        <v>7.7499999999999999E-2</v>
      </c>
      <c r="H41" s="85">
        <v>2.09</v>
      </c>
      <c r="I41" s="6">
        <f t="shared" si="2"/>
        <v>93.432133383071658</v>
      </c>
      <c r="J41" s="6">
        <f t="shared" si="11"/>
        <v>2.5505898481010942</v>
      </c>
      <c r="K41" s="85"/>
      <c r="L41" s="38">
        <f t="shared" si="10"/>
        <v>0.61139679866431962</v>
      </c>
      <c r="M41" s="85">
        <f t="shared" si="7"/>
        <v>3.1619866467654139</v>
      </c>
      <c r="N41" s="86"/>
      <c r="O41" s="250">
        <f t="shared" si="12"/>
        <v>2.9236146205093538</v>
      </c>
      <c r="P41" s="246">
        <f t="shared" si="8"/>
        <v>2.9236146205093537E-2</v>
      </c>
    </row>
    <row r="42" spans="4:16" ht="12.75" x14ac:dyDescent="0.25">
      <c r="D42" s="17">
        <f t="shared" si="9"/>
        <v>64</v>
      </c>
      <c r="E42" s="235">
        <v>46356</v>
      </c>
      <c r="F42" s="9">
        <f t="shared" si="0"/>
        <v>1963</v>
      </c>
      <c r="G42" s="91">
        <f t="shared" si="1"/>
        <v>7.7499999999999999E-2</v>
      </c>
      <c r="H42" s="85">
        <v>2.09</v>
      </c>
      <c r="I42" s="6">
        <f t="shared" si="2"/>
        <v>90.881543534970561</v>
      </c>
      <c r="J42" s="6">
        <f t="shared" si="11"/>
        <v>2.5505898481010942</v>
      </c>
      <c r="K42" s="85"/>
      <c r="L42" s="38">
        <f t="shared" si="10"/>
        <v>0.65466487980056376</v>
      </c>
      <c r="M42" s="85">
        <f t="shared" si="7"/>
        <v>3.2052547279016581</v>
      </c>
      <c r="N42" s="86"/>
      <c r="O42" s="250">
        <f t="shared" si="12"/>
        <v>2.9596517571369136</v>
      </c>
      <c r="P42" s="246">
        <f t="shared" si="8"/>
        <v>2.9596517571369135E-2</v>
      </c>
    </row>
    <row r="43" spans="4:16" ht="12.75" x14ac:dyDescent="0.25">
      <c r="D43" s="17">
        <f t="shared" si="9"/>
        <v>65</v>
      </c>
      <c r="E43" s="235">
        <v>46384</v>
      </c>
      <c r="F43" s="9">
        <f t="shared" si="0"/>
        <v>1991</v>
      </c>
      <c r="G43" s="91">
        <f t="shared" ref="G43:G74" si="13">$C$8</f>
        <v>7.7499999999999999E-2</v>
      </c>
      <c r="H43" s="85">
        <v>2.12</v>
      </c>
      <c r="I43" s="6">
        <f t="shared" si="2"/>
        <v>88.294342349336915</v>
      </c>
      <c r="J43" s="6">
        <f t="shared" si="11"/>
        <v>2.5872011856336461</v>
      </c>
      <c r="K43" s="85"/>
      <c r="L43" s="38">
        <f t="shared" si="10"/>
        <v>0.54030945060516744</v>
      </c>
      <c r="M43" s="85">
        <f t="shared" si="7"/>
        <v>3.1275106362388136</v>
      </c>
      <c r="N43" s="86"/>
      <c r="O43" s="250">
        <f t="shared" si="12"/>
        <v>2.8845828434995977</v>
      </c>
      <c r="P43" s="246">
        <f t="shared" si="8"/>
        <v>2.8845828434995977E-2</v>
      </c>
    </row>
    <row r="44" spans="4:16" ht="12.75" x14ac:dyDescent="0.25">
      <c r="D44" s="17">
        <f t="shared" ref="D44:D74" si="14">D43+1</f>
        <v>66</v>
      </c>
      <c r="E44" s="235">
        <v>46415</v>
      </c>
      <c r="F44" s="9">
        <f t="shared" si="0"/>
        <v>2022</v>
      </c>
      <c r="G44" s="91">
        <f t="shared" si="13"/>
        <v>7.7499999999999999E-2</v>
      </c>
      <c r="H44" s="85">
        <v>2.12</v>
      </c>
      <c r="I44" s="6">
        <f t="shared" si="2"/>
        <v>85.70714116370327</v>
      </c>
      <c r="J44" s="6">
        <f t="shared" si="11"/>
        <v>2.5872011856336461</v>
      </c>
      <c r="K44" s="85"/>
      <c r="L44" s="38">
        <f t="shared" si="10"/>
        <v>0.581170294504882</v>
      </c>
      <c r="M44" s="85">
        <f t="shared" ref="M44:M74" si="15">+L44+J44</f>
        <v>3.1683714801385281</v>
      </c>
      <c r="N44" s="86"/>
      <c r="O44" s="250">
        <f t="shared" si="12"/>
        <v>2.9185931658682529</v>
      </c>
      <c r="P44" s="246">
        <f t="shared" si="8"/>
        <v>2.918593165868253E-2</v>
      </c>
    </row>
    <row r="45" spans="4:16" ht="12.75" x14ac:dyDescent="0.25">
      <c r="D45" s="17">
        <f t="shared" si="14"/>
        <v>67</v>
      </c>
      <c r="E45" s="235">
        <v>46447</v>
      </c>
      <c r="F45" s="9">
        <f t="shared" si="0"/>
        <v>2054</v>
      </c>
      <c r="G45" s="91">
        <f t="shared" si="13"/>
        <v>7.7499999999999999E-2</v>
      </c>
      <c r="H45" s="85">
        <v>2.13</v>
      </c>
      <c r="I45" s="6">
        <f t="shared" si="2"/>
        <v>83.107736198892113</v>
      </c>
      <c r="J45" s="6">
        <f t="shared" si="11"/>
        <v>2.5994049648111632</v>
      </c>
      <c r="K45" s="85"/>
      <c r="L45" s="38">
        <f t="shared" si="10"/>
        <v>0.58233893174242224</v>
      </c>
      <c r="M45" s="85">
        <f t="shared" si="15"/>
        <v>3.1817438965535856</v>
      </c>
      <c r="N45" s="86"/>
      <c r="O45" s="250">
        <f t="shared" si="12"/>
        <v>2.927104944251961</v>
      </c>
      <c r="P45" s="246">
        <f t="shared" si="8"/>
        <v>2.9271049442519612E-2</v>
      </c>
    </row>
    <row r="46" spans="4:16" ht="12.75" x14ac:dyDescent="0.25">
      <c r="D46" s="17">
        <f t="shared" si="14"/>
        <v>68</v>
      </c>
      <c r="E46" s="235">
        <v>46475</v>
      </c>
      <c r="F46" s="9">
        <f t="shared" si="0"/>
        <v>2082</v>
      </c>
      <c r="G46" s="91">
        <f t="shared" si="13"/>
        <v>7.7499999999999999E-2</v>
      </c>
      <c r="H46" s="85">
        <v>2.19</v>
      </c>
      <c r="I46" s="6">
        <f t="shared" si="2"/>
        <v>80.435108559015845</v>
      </c>
      <c r="J46" s="6">
        <f t="shared" si="11"/>
        <v>2.6726276398762665</v>
      </c>
      <c r="K46" s="85"/>
      <c r="L46" s="38">
        <f t="shared" si="10"/>
        <v>0.49409256863450929</v>
      </c>
      <c r="M46" s="85">
        <f t="shared" si="15"/>
        <v>3.166720208510776</v>
      </c>
      <c r="N46" s="86"/>
      <c r="O46" s="250">
        <f t="shared" si="12"/>
        <v>2.9099727621558484</v>
      </c>
      <c r="P46" s="246">
        <f t="shared" si="8"/>
        <v>2.9099727621558484E-2</v>
      </c>
    </row>
    <row r="47" spans="4:16" ht="12.75" x14ac:dyDescent="0.25">
      <c r="D47" s="17">
        <f t="shared" si="14"/>
        <v>69</v>
      </c>
      <c r="E47" s="235">
        <v>46505</v>
      </c>
      <c r="F47" s="9">
        <f t="shared" si="0"/>
        <v>2112</v>
      </c>
      <c r="G47" s="91">
        <f t="shared" si="13"/>
        <v>7.7499999999999999E-2</v>
      </c>
      <c r="H47" s="85">
        <v>2.16</v>
      </c>
      <c r="I47" s="6">
        <f t="shared" si="2"/>
        <v>77.799092256672125</v>
      </c>
      <c r="J47" s="6">
        <f t="shared" si="11"/>
        <v>2.6360163023437151</v>
      </c>
      <c r="K47" s="85"/>
      <c r="L47" s="38">
        <f t="shared" si="10"/>
        <v>0.51236062301290908</v>
      </c>
      <c r="M47" s="85">
        <f t="shared" si="15"/>
        <v>3.1483769253566241</v>
      </c>
      <c r="N47" s="86"/>
      <c r="O47" s="250">
        <f t="shared" si="12"/>
        <v>2.8895940438266279</v>
      </c>
      <c r="P47" s="246">
        <f t="shared" si="8"/>
        <v>2.8895940438266279E-2</v>
      </c>
    </row>
    <row r="48" spans="4:16" ht="12.75" x14ac:dyDescent="0.25">
      <c r="D48" s="17">
        <f t="shared" si="14"/>
        <v>70</v>
      </c>
      <c r="E48" s="235">
        <v>46535</v>
      </c>
      <c r="F48" s="9">
        <f t="shared" si="0"/>
        <v>2142</v>
      </c>
      <c r="G48" s="91">
        <f t="shared" si="13"/>
        <v>7.7499999999999999E-2</v>
      </c>
      <c r="H48" s="85">
        <v>2.19</v>
      </c>
      <c r="I48" s="6">
        <f t="shared" si="2"/>
        <v>75.126464616795857</v>
      </c>
      <c r="J48" s="6">
        <f t="shared" si="11"/>
        <v>2.6726276398762665</v>
      </c>
      <c r="K48" s="85"/>
      <c r="L48" s="38">
        <f t="shared" si="10"/>
        <v>0.49556956026510324</v>
      </c>
      <c r="M48" s="85">
        <f t="shared" si="15"/>
        <v>3.1681972001413699</v>
      </c>
      <c r="N48" s="86"/>
      <c r="O48" s="250">
        <f t="shared" si="12"/>
        <v>2.9042446686564038</v>
      </c>
      <c r="P48" s="246">
        <f t="shared" si="8"/>
        <v>2.9042446686564038E-2</v>
      </c>
    </row>
    <row r="49" spans="4:16" ht="12.75" x14ac:dyDescent="0.25">
      <c r="D49" s="17">
        <f t="shared" si="14"/>
        <v>71</v>
      </c>
      <c r="E49" s="235">
        <v>46566</v>
      </c>
      <c r="F49" s="9">
        <f t="shared" si="0"/>
        <v>2173</v>
      </c>
      <c r="G49" s="91">
        <f t="shared" si="13"/>
        <v>7.7499999999999999E-2</v>
      </c>
      <c r="H49" s="85">
        <v>2.19</v>
      </c>
      <c r="I49" s="6">
        <f t="shared" si="2"/>
        <v>72.45383697691959</v>
      </c>
      <c r="J49" s="6">
        <f t="shared" si="11"/>
        <v>2.6726276398762665</v>
      </c>
      <c r="K49" s="85"/>
      <c r="L49" s="38">
        <f t="shared" si="10"/>
        <v>0.49449679792288231</v>
      </c>
      <c r="M49" s="85">
        <f t="shared" si="15"/>
        <v>3.1671244377991488</v>
      </c>
      <c r="N49" s="86"/>
      <c r="O49" s="250">
        <f t="shared" si="12"/>
        <v>2.8996085209738549</v>
      </c>
      <c r="P49" s="246">
        <f t="shared" si="8"/>
        <v>2.8996085209738551E-2</v>
      </c>
    </row>
    <row r="50" spans="4:16" ht="12.75" x14ac:dyDescent="0.25">
      <c r="D50" s="17">
        <f t="shared" si="14"/>
        <v>72</v>
      </c>
      <c r="E50" s="235">
        <v>46596</v>
      </c>
      <c r="F50" s="9">
        <f t="shared" si="0"/>
        <v>2203</v>
      </c>
      <c r="G50" s="91">
        <f t="shared" si="13"/>
        <v>7.7499999999999999E-2</v>
      </c>
      <c r="H50" s="85">
        <v>2.2200000000000002</v>
      </c>
      <c r="I50" s="6">
        <f t="shared" si="2"/>
        <v>69.744597999510773</v>
      </c>
      <c r="J50" s="6">
        <f t="shared" si="11"/>
        <v>2.7092389774088179</v>
      </c>
      <c r="K50" s="85"/>
      <c r="L50" s="38">
        <f t="shared" si="10"/>
        <v>0.46152101635983023</v>
      </c>
      <c r="M50" s="85">
        <f t="shared" si="15"/>
        <v>3.1707599937686481</v>
      </c>
      <c r="N50" s="86"/>
      <c r="O50" s="250">
        <f t="shared" si="12"/>
        <v>2.8994023877618487</v>
      </c>
      <c r="P50" s="246">
        <f t="shared" si="8"/>
        <v>2.8994023877618486E-2</v>
      </c>
    </row>
    <row r="51" spans="4:16" ht="12.75" x14ac:dyDescent="0.25">
      <c r="D51" s="17">
        <f t="shared" si="14"/>
        <v>73</v>
      </c>
      <c r="E51" s="235">
        <v>46629</v>
      </c>
      <c r="F51" s="9">
        <f t="shared" si="0"/>
        <v>2236</v>
      </c>
      <c r="G51" s="91">
        <f t="shared" si="13"/>
        <v>7.7499999999999999E-2</v>
      </c>
      <c r="H51" s="85">
        <v>2.2200000000000002</v>
      </c>
      <c r="I51" s="6">
        <f t="shared" si="2"/>
        <v>67.035359022101957</v>
      </c>
      <c r="J51" s="6">
        <f t="shared" si="11"/>
        <v>2.7092389774088179</v>
      </c>
      <c r="K51" s="85"/>
      <c r="L51" s="38">
        <f t="shared" si="10"/>
        <v>0.4886898887225995</v>
      </c>
      <c r="M51" s="85">
        <f t="shared" si="15"/>
        <v>3.1979288661314174</v>
      </c>
      <c r="N51" s="86"/>
      <c r="O51" s="250">
        <f t="shared" si="12"/>
        <v>2.9203297449295391</v>
      </c>
      <c r="P51" s="246">
        <f t="shared" ref="P51:P54" si="16">O51/100</f>
        <v>2.9203297449295392E-2</v>
      </c>
    </row>
    <row r="52" spans="4:16" ht="12.75" x14ac:dyDescent="0.25">
      <c r="D52" s="17">
        <f t="shared" si="14"/>
        <v>74</v>
      </c>
      <c r="E52" s="235">
        <v>46658</v>
      </c>
      <c r="F52" s="9">
        <f t="shared" si="0"/>
        <v>2265</v>
      </c>
      <c r="G52" s="91">
        <f t="shared" si="13"/>
        <v>7.7499999999999999E-2</v>
      </c>
      <c r="H52" s="85">
        <v>2.2400000000000002</v>
      </c>
      <c r="I52" s="6">
        <f t="shared" si="2"/>
        <v>64.301712486338104</v>
      </c>
      <c r="J52" s="6">
        <f t="shared" si="11"/>
        <v>2.7336465357638526</v>
      </c>
      <c r="K52" s="85"/>
      <c r="L52" s="38">
        <f t="shared" si="10"/>
        <v>0.41277251891006617</v>
      </c>
      <c r="M52" s="85">
        <f t="shared" si="15"/>
        <v>3.1464190546739186</v>
      </c>
      <c r="N52" s="86"/>
      <c r="O52" s="250">
        <f t="shared" si="12"/>
        <v>2.8699093278233065</v>
      </c>
      <c r="P52" s="246">
        <f t="shared" si="16"/>
        <v>2.8699093278233067E-2</v>
      </c>
    </row>
    <row r="53" spans="4:16" ht="12.75" x14ac:dyDescent="0.25">
      <c r="D53" s="17">
        <f t="shared" si="14"/>
        <v>75</v>
      </c>
      <c r="E53" s="235">
        <v>46688</v>
      </c>
      <c r="F53" s="9">
        <f t="shared" si="0"/>
        <v>2295</v>
      </c>
      <c r="G53" s="91">
        <f t="shared" si="13"/>
        <v>7.7499999999999999E-2</v>
      </c>
      <c r="H53" s="85">
        <v>2.2599999999999998</v>
      </c>
      <c r="I53" s="6">
        <f t="shared" si="2"/>
        <v>61.543658392219214</v>
      </c>
      <c r="J53" s="6">
        <f t="shared" si="11"/>
        <v>2.7580540941188865</v>
      </c>
      <c r="K53" s="85"/>
      <c r="L53" s="38">
        <f t="shared" si="10"/>
        <v>0.40959310008420846</v>
      </c>
      <c r="M53" s="85">
        <f t="shared" si="15"/>
        <v>3.167647194203095</v>
      </c>
      <c r="N53" s="86"/>
      <c r="O53" s="250">
        <f t="shared" si="12"/>
        <v>2.8857539541753421</v>
      </c>
      <c r="P53" s="246">
        <f t="shared" si="16"/>
        <v>2.8857539541753421E-2</v>
      </c>
    </row>
    <row r="54" spans="4:16" ht="12.75" x14ac:dyDescent="0.25">
      <c r="D54" s="17">
        <f t="shared" si="14"/>
        <v>76</v>
      </c>
      <c r="E54" s="235">
        <v>46720</v>
      </c>
      <c r="F54" s="9">
        <f t="shared" si="0"/>
        <v>2327</v>
      </c>
      <c r="G54" s="91">
        <f t="shared" si="13"/>
        <v>7.7499999999999999E-2</v>
      </c>
      <c r="H54" s="85">
        <v>2.27</v>
      </c>
      <c r="I54" s="6">
        <f t="shared" si="2"/>
        <v>58.773400518922813</v>
      </c>
      <c r="J54" s="6">
        <f t="shared" si="11"/>
        <v>2.770257873296404</v>
      </c>
      <c r="K54" s="85"/>
      <c r="L54" s="38">
        <f t="shared" si="10"/>
        <v>0.41815965154165385</v>
      </c>
      <c r="M54" s="85">
        <f t="shared" si="15"/>
        <v>3.1884175248380577</v>
      </c>
      <c r="N54" s="86"/>
      <c r="O54" s="250">
        <f t="shared" si="12"/>
        <v>2.900903552586644</v>
      </c>
      <c r="P54" s="246">
        <f t="shared" si="16"/>
        <v>2.900903552586644E-2</v>
      </c>
    </row>
    <row r="55" spans="4:16" ht="12.75" x14ac:dyDescent="0.25">
      <c r="D55" s="17">
        <f t="shared" si="14"/>
        <v>77</v>
      </c>
      <c r="E55" s="235">
        <v>46749</v>
      </c>
      <c r="F55" s="9">
        <f t="shared" si="0"/>
        <v>2356</v>
      </c>
      <c r="G55" s="91">
        <f t="shared" si="13"/>
        <v>7.7499999999999999E-2</v>
      </c>
      <c r="H55" s="85">
        <v>2.29</v>
      </c>
      <c r="I55" s="6">
        <f t="shared" si="2"/>
        <v>55.978735087271374</v>
      </c>
      <c r="J55" s="6">
        <f t="shared" si="11"/>
        <v>2.7946654316514383</v>
      </c>
      <c r="K55" s="85"/>
      <c r="L55" s="38">
        <f t="shared" si="10"/>
        <v>0.36189922648295625</v>
      </c>
      <c r="M55" s="85">
        <f t="shared" si="15"/>
        <v>3.1565646581343945</v>
      </c>
      <c r="N55" s="86"/>
      <c r="O55" s="250">
        <f t="shared" si="12"/>
        <v>2.8685426512538643</v>
      </c>
      <c r="P55" s="246">
        <f>O55/100</f>
        <v>2.8685426512538643E-2</v>
      </c>
    </row>
    <row r="56" spans="4:16" ht="12.75" x14ac:dyDescent="0.25">
      <c r="D56" s="17">
        <f t="shared" si="14"/>
        <v>78</v>
      </c>
      <c r="E56" s="235">
        <v>46780</v>
      </c>
      <c r="F56" s="9">
        <f t="shared" si="0"/>
        <v>2387</v>
      </c>
      <c r="G56" s="91">
        <f t="shared" si="13"/>
        <v>7.7499999999999999E-2</v>
      </c>
      <c r="H56" s="85">
        <v>2.2999999999999998</v>
      </c>
      <c r="I56" s="6">
        <f t="shared" si="2"/>
        <v>53.171865876442418</v>
      </c>
      <c r="J56" s="6">
        <f t="shared" si="11"/>
        <v>2.8068692108289555</v>
      </c>
      <c r="K56" s="85"/>
      <c r="L56" s="38">
        <f t="shared" si="10"/>
        <v>0.36846276999224514</v>
      </c>
      <c r="M56" s="85">
        <f t="shared" si="15"/>
        <v>3.1753319808212006</v>
      </c>
      <c r="N56" s="86"/>
      <c r="O56" s="250">
        <f t="shared" si="12"/>
        <v>2.8819670052683666</v>
      </c>
      <c r="P56" s="246">
        <f t="shared" ref="P56:P74" si="17">O56/100</f>
        <v>2.8819670052683665E-2</v>
      </c>
    </row>
    <row r="57" spans="4:16" ht="12.75" x14ac:dyDescent="0.25">
      <c r="D57" s="17">
        <f t="shared" si="14"/>
        <v>79</v>
      </c>
      <c r="E57" s="235">
        <v>46811</v>
      </c>
      <c r="F57" s="9">
        <f t="shared" si="0"/>
        <v>2418</v>
      </c>
      <c r="G57" s="91">
        <f t="shared" si="13"/>
        <v>7.7499999999999999E-2</v>
      </c>
      <c r="H57" s="85">
        <v>2.31</v>
      </c>
      <c r="I57" s="6">
        <f t="shared" si="2"/>
        <v>50.352792886435942</v>
      </c>
      <c r="J57" s="6">
        <f t="shared" si="11"/>
        <v>2.8190729900064726</v>
      </c>
      <c r="K57" s="85"/>
      <c r="L57" s="38">
        <f t="shared" si="10"/>
        <v>0.34998741854288468</v>
      </c>
      <c r="M57" s="85">
        <f t="shared" si="15"/>
        <v>3.1690604085493574</v>
      </c>
      <c r="N57" s="86"/>
      <c r="O57" s="250">
        <f t="shared" si="12"/>
        <v>2.8726560483795534</v>
      </c>
      <c r="P57" s="246">
        <f t="shared" si="17"/>
        <v>2.8726560483795533E-2</v>
      </c>
    </row>
    <row r="58" spans="4:16" ht="12.75" x14ac:dyDescent="0.25">
      <c r="D58" s="17">
        <f t="shared" si="14"/>
        <v>80</v>
      </c>
      <c r="E58" s="235">
        <v>46840</v>
      </c>
      <c r="F58" s="9">
        <f t="shared" si="0"/>
        <v>2447</v>
      </c>
      <c r="G58" s="91">
        <f t="shared" si="13"/>
        <v>7.7499999999999999E-2</v>
      </c>
      <c r="H58" s="85">
        <v>2.35</v>
      </c>
      <c r="I58" s="6">
        <f t="shared" si="2"/>
        <v>47.4849047797194</v>
      </c>
      <c r="J58" s="6">
        <f t="shared" si="11"/>
        <v>2.8678881067165416</v>
      </c>
      <c r="K58" s="85"/>
      <c r="L58" s="38">
        <f t="shared" si="10"/>
        <v>0.31004904660894461</v>
      </c>
      <c r="M58" s="85">
        <f t="shared" si="15"/>
        <v>3.1779371533254861</v>
      </c>
      <c r="N58" s="86"/>
      <c r="O58" s="250">
        <f t="shared" si="12"/>
        <v>2.8773118602821985</v>
      </c>
      <c r="P58" s="246">
        <f t="shared" si="17"/>
        <v>2.8773118602821987E-2</v>
      </c>
    </row>
    <row r="59" spans="4:16" ht="12.75" x14ac:dyDescent="0.25">
      <c r="D59" s="17">
        <f t="shared" si="14"/>
        <v>81</v>
      </c>
      <c r="E59" s="235">
        <v>46871</v>
      </c>
      <c r="F59" s="9">
        <f t="shared" si="0"/>
        <v>2478</v>
      </c>
      <c r="G59" s="91">
        <f t="shared" si="13"/>
        <v>7.7499999999999999E-2</v>
      </c>
      <c r="H59" s="85">
        <v>2.34</v>
      </c>
      <c r="I59" s="6">
        <f t="shared" si="2"/>
        <v>44.629220452180377</v>
      </c>
      <c r="J59" s="6">
        <f t="shared" si="11"/>
        <v>2.855684327539024</v>
      </c>
      <c r="K59" s="85"/>
      <c r="L59" s="38">
        <f t="shared" si="10"/>
        <v>0.31255474995418042</v>
      </c>
      <c r="M59" s="85">
        <f t="shared" si="15"/>
        <v>3.1682390774932045</v>
      </c>
      <c r="N59" s="86"/>
      <c r="O59" s="250">
        <f t="shared" si="12"/>
        <v>2.8649221347036886</v>
      </c>
      <c r="P59" s="246">
        <f t="shared" si="17"/>
        <v>2.8649221347036888E-2</v>
      </c>
    </row>
    <row r="60" spans="4:16" ht="12.75" x14ac:dyDescent="0.25">
      <c r="D60" s="17">
        <f t="shared" si="14"/>
        <v>82</v>
      </c>
      <c r="E60" s="235">
        <v>46902</v>
      </c>
      <c r="F60" s="9">
        <f t="shared" si="0"/>
        <v>2509</v>
      </c>
      <c r="G60" s="91">
        <f t="shared" si="13"/>
        <v>7.7499999999999999E-2</v>
      </c>
      <c r="H60" s="85">
        <v>2.37</v>
      </c>
      <c r="I60" s="6">
        <f t="shared" si="2"/>
        <v>41.736924787108798</v>
      </c>
      <c r="J60" s="6">
        <f t="shared" si="11"/>
        <v>2.8922956650715763</v>
      </c>
      <c r="K60" s="85"/>
      <c r="L60" s="38">
        <f t="shared" si="10"/>
        <v>0.29375808804483111</v>
      </c>
      <c r="M60" s="85">
        <f t="shared" si="15"/>
        <v>3.1860537531164073</v>
      </c>
      <c r="N60" s="86"/>
      <c r="O60" s="250">
        <f t="shared" si="12"/>
        <v>2.8774064992792976</v>
      </c>
      <c r="P60" s="246">
        <f t="shared" si="17"/>
        <v>2.8774064992792975E-2</v>
      </c>
    </row>
    <row r="61" spans="4:16" ht="12.75" x14ac:dyDescent="0.25">
      <c r="D61" s="17">
        <f t="shared" si="14"/>
        <v>83</v>
      </c>
      <c r="E61" s="235">
        <v>46932</v>
      </c>
      <c r="F61" s="9">
        <f t="shared" si="0"/>
        <v>2539</v>
      </c>
      <c r="G61" s="91">
        <f t="shared" si="13"/>
        <v>7.7499999999999999E-2</v>
      </c>
      <c r="H61" s="85">
        <v>2.38</v>
      </c>
      <c r="I61" s="6">
        <f t="shared" si="2"/>
        <v>38.832425342859707</v>
      </c>
      <c r="J61" s="6">
        <f t="shared" si="11"/>
        <v>2.904499444249093</v>
      </c>
      <c r="K61" s="85"/>
      <c r="L61" s="38">
        <f t="shared" si="10"/>
        <v>0.26585849350692586</v>
      </c>
      <c r="M61" s="85">
        <f t="shared" si="15"/>
        <v>3.1703579377560187</v>
      </c>
      <c r="N61" s="86"/>
      <c r="O61" s="250">
        <f t="shared" si="12"/>
        <v>2.8597449467817788</v>
      </c>
      <c r="P61" s="246">
        <f t="shared" si="17"/>
        <v>2.8597449467817788E-2</v>
      </c>
    </row>
    <row r="62" spans="4:16" ht="12.75" x14ac:dyDescent="0.25">
      <c r="D62" s="17">
        <f t="shared" si="14"/>
        <v>84</v>
      </c>
      <c r="E62" s="235">
        <v>46962</v>
      </c>
      <c r="F62" s="9">
        <f t="shared" si="0"/>
        <v>2569</v>
      </c>
      <c r="G62" s="91">
        <f t="shared" si="13"/>
        <v>7.7499999999999999E-2</v>
      </c>
      <c r="H62" s="85">
        <v>2.4</v>
      </c>
      <c r="I62" s="6">
        <f t="shared" si="2"/>
        <v>35.90351834025558</v>
      </c>
      <c r="J62" s="6">
        <f t="shared" si="11"/>
        <v>2.9289070026041277</v>
      </c>
      <c r="K62" s="85"/>
      <c r="L62" s="38">
        <f t="shared" si="10"/>
        <v>0.24735722992369538</v>
      </c>
      <c r="M62" s="85">
        <f t="shared" si="15"/>
        <v>3.176264232527823</v>
      </c>
      <c r="N62" s="86"/>
      <c r="O62" s="250">
        <f t="shared" si="12"/>
        <v>2.8615840746877517</v>
      </c>
      <c r="P62" s="246">
        <f t="shared" si="17"/>
        <v>2.8615840746877518E-2</v>
      </c>
    </row>
    <row r="63" spans="4:16" ht="12.75" x14ac:dyDescent="0.25">
      <c r="D63" s="17">
        <f t="shared" si="14"/>
        <v>85</v>
      </c>
      <c r="E63" s="235">
        <v>46993</v>
      </c>
      <c r="F63" s="9">
        <f t="shared" si="0"/>
        <v>2600</v>
      </c>
      <c r="G63" s="91">
        <f t="shared" si="13"/>
        <v>7.7499999999999999E-2</v>
      </c>
      <c r="H63" s="85">
        <v>2.41</v>
      </c>
      <c r="I63" s="6">
        <f t="shared" si="2"/>
        <v>32.962407558473934</v>
      </c>
      <c r="J63" s="6">
        <f t="shared" si="11"/>
        <v>2.9411107817816449</v>
      </c>
      <c r="K63" s="85"/>
      <c r="L63" s="38">
        <f t="shared" si="10"/>
        <v>0.23632384332181927</v>
      </c>
      <c r="M63" s="85">
        <f t="shared" si="15"/>
        <v>3.177434625103464</v>
      </c>
      <c r="N63" s="86"/>
      <c r="O63" s="250">
        <f t="shared" si="12"/>
        <v>2.8590368629320611</v>
      </c>
      <c r="P63" s="246">
        <f t="shared" si="17"/>
        <v>2.8590368629320611E-2</v>
      </c>
    </row>
    <row r="64" spans="4:16" ht="12.75" x14ac:dyDescent="0.25">
      <c r="D64" s="17">
        <f t="shared" si="14"/>
        <v>86</v>
      </c>
      <c r="E64" s="235">
        <v>47024</v>
      </c>
      <c r="F64" s="9">
        <f t="shared" si="0"/>
        <v>2631</v>
      </c>
      <c r="G64" s="91">
        <f t="shared" si="13"/>
        <v>7.7499999999999999E-2</v>
      </c>
      <c r="H64" s="85">
        <v>2.42</v>
      </c>
      <c r="I64" s="6">
        <f t="shared" si="2"/>
        <v>30.009092997514774</v>
      </c>
      <c r="J64" s="6">
        <f t="shared" si="11"/>
        <v>2.953314560959162</v>
      </c>
      <c r="K64" s="85"/>
      <c r="L64" s="38">
        <f t="shared" si="10"/>
        <v>0.2169648881074894</v>
      </c>
      <c r="M64" s="85">
        <f t="shared" si="15"/>
        <v>3.1702794490666513</v>
      </c>
      <c r="N64" s="86"/>
      <c r="O64" s="250">
        <f t="shared" si="12"/>
        <v>2.8490096588785847</v>
      </c>
      <c r="P64" s="246">
        <f t="shared" si="17"/>
        <v>2.8490096588785846E-2</v>
      </c>
    </row>
    <row r="65" spans="4:16" ht="12.75" x14ac:dyDescent="0.25">
      <c r="D65" s="17">
        <f t="shared" si="14"/>
        <v>87</v>
      </c>
      <c r="E65" s="235">
        <v>47056</v>
      </c>
      <c r="F65" s="9">
        <f t="shared" si="0"/>
        <v>2663</v>
      </c>
      <c r="G65" s="91">
        <f t="shared" si="13"/>
        <v>7.7499999999999999E-2</v>
      </c>
      <c r="H65" s="85">
        <v>2.4500000000000002</v>
      </c>
      <c r="I65" s="6">
        <f t="shared" si="2"/>
        <v>27.019167099023061</v>
      </c>
      <c r="J65" s="6">
        <f t="shared" si="11"/>
        <v>2.9899258984917139</v>
      </c>
      <c r="K65" s="85"/>
      <c r="L65" s="38">
        <f t="shared" si="10"/>
        <v>0.20389739899681272</v>
      </c>
      <c r="M65" s="85">
        <f t="shared" si="15"/>
        <v>3.1938232974885268</v>
      </c>
      <c r="N65" s="86"/>
      <c r="O65" s="250">
        <f t="shared" si="12"/>
        <v>2.8664400850034575</v>
      </c>
      <c r="P65" s="246">
        <f t="shared" si="17"/>
        <v>2.8664400850034574E-2</v>
      </c>
    </row>
    <row r="66" spans="4:16" ht="12.75" x14ac:dyDescent="0.25">
      <c r="D66" s="17">
        <f t="shared" si="14"/>
        <v>88</v>
      </c>
      <c r="E66" s="235">
        <v>47085</v>
      </c>
      <c r="F66" s="9">
        <f t="shared" si="0"/>
        <v>2692</v>
      </c>
      <c r="G66" s="91">
        <f t="shared" si="13"/>
        <v>7.7499999999999999E-2</v>
      </c>
      <c r="H66" s="85">
        <v>2.46</v>
      </c>
      <c r="I66" s="6">
        <f t="shared" si="2"/>
        <v>24.01703742135383</v>
      </c>
      <c r="J66" s="6">
        <f t="shared" si="11"/>
        <v>3.002129677669231</v>
      </c>
      <c r="K66" s="85"/>
      <c r="L66" s="38">
        <f t="shared" si="10"/>
        <v>0.16637144672617626</v>
      </c>
      <c r="M66" s="85">
        <f t="shared" si="15"/>
        <v>3.1685011243954073</v>
      </c>
      <c r="N66" s="86"/>
      <c r="O66" s="250">
        <f t="shared" si="12"/>
        <v>2.8403664164307076</v>
      </c>
      <c r="P66" s="246">
        <f t="shared" si="17"/>
        <v>2.8403664164307077E-2</v>
      </c>
    </row>
    <row r="67" spans="4:16" ht="12.75" x14ac:dyDescent="0.25">
      <c r="D67" s="17">
        <f t="shared" si="14"/>
        <v>89</v>
      </c>
      <c r="E67" s="235">
        <v>47115</v>
      </c>
      <c r="F67" s="9">
        <f t="shared" si="0"/>
        <v>2722</v>
      </c>
      <c r="G67" s="91">
        <f t="shared" si="13"/>
        <v>7.7499999999999999E-2</v>
      </c>
      <c r="H67" s="85">
        <v>2.48</v>
      </c>
      <c r="I67" s="6">
        <f t="shared" si="2"/>
        <v>20.990500185329566</v>
      </c>
      <c r="J67" s="6">
        <f t="shared" si="11"/>
        <v>3.0265372360242648</v>
      </c>
      <c r="K67" s="85"/>
      <c r="L67" s="38">
        <f t="shared" si="10"/>
        <v>0.15298523836889769</v>
      </c>
      <c r="M67" s="85">
        <f t="shared" si="15"/>
        <v>3.1795224743931625</v>
      </c>
      <c r="N67" s="86"/>
      <c r="O67" s="250">
        <f t="shared" si="12"/>
        <v>2.8467759283909633</v>
      </c>
      <c r="P67" s="246">
        <f t="shared" si="17"/>
        <v>2.8467759283909634E-2</v>
      </c>
    </row>
    <row r="68" spans="4:16" ht="12.75" x14ac:dyDescent="0.25">
      <c r="D68" s="17">
        <f t="shared" si="14"/>
        <v>90</v>
      </c>
      <c r="E68" s="235">
        <v>47147</v>
      </c>
      <c r="F68" s="9">
        <f t="shared" ref="F68:F74" si="18">E68-$E$3</f>
        <v>2754</v>
      </c>
      <c r="G68" s="91">
        <f t="shared" si="13"/>
        <v>7.7499999999999999E-2</v>
      </c>
      <c r="H68" s="85">
        <v>2.4900000000000002</v>
      </c>
      <c r="I68" s="6">
        <f t="shared" ref="I68:I74" si="19">+I67+K68-J68</f>
        <v>17.951759170127783</v>
      </c>
      <c r="J68" s="6">
        <f t="shared" si="11"/>
        <v>3.0387410152017824</v>
      </c>
      <c r="K68" s="85"/>
      <c r="L68" s="38">
        <f t="shared" si="10"/>
        <v>0.14262038482086939</v>
      </c>
      <c r="M68" s="85">
        <f t="shared" si="15"/>
        <v>3.1813614000226518</v>
      </c>
      <c r="N68" s="86"/>
      <c r="O68" s="250">
        <f t="shared" si="12"/>
        <v>2.8447231101297428</v>
      </c>
      <c r="P68" s="246">
        <f t="shared" si="17"/>
        <v>2.8447231101297429E-2</v>
      </c>
    </row>
    <row r="69" spans="4:16" ht="12.75" x14ac:dyDescent="0.25">
      <c r="D69" s="17">
        <f t="shared" si="14"/>
        <v>91</v>
      </c>
      <c r="E69" s="235">
        <v>47177</v>
      </c>
      <c r="F69" s="9">
        <f t="shared" si="18"/>
        <v>2784</v>
      </c>
      <c r="G69" s="91">
        <f t="shared" si="13"/>
        <v>7.7499999999999999E-2</v>
      </c>
      <c r="H69" s="85">
        <v>2.5099999999999998</v>
      </c>
      <c r="I69" s="6">
        <f t="shared" si="19"/>
        <v>14.888610596570967</v>
      </c>
      <c r="J69" s="6">
        <f t="shared" si="11"/>
        <v>3.0631485735568162</v>
      </c>
      <c r="K69" s="85"/>
      <c r="L69" s="38">
        <f t="shared" si="10"/>
        <v>0.11435024676862217</v>
      </c>
      <c r="M69" s="85">
        <f t="shared" si="15"/>
        <v>3.1774988203254386</v>
      </c>
      <c r="N69" s="86"/>
      <c r="O69" s="250">
        <f t="shared" si="12"/>
        <v>2.8378097323251184</v>
      </c>
      <c r="P69" s="246">
        <f t="shared" si="17"/>
        <v>2.8378097323251184E-2</v>
      </c>
    </row>
    <row r="70" spans="4:16" ht="12.75" x14ac:dyDescent="0.25">
      <c r="D70" s="17">
        <f t="shared" si="14"/>
        <v>92</v>
      </c>
      <c r="E70" s="235">
        <v>47205</v>
      </c>
      <c r="F70" s="9">
        <f t="shared" si="18"/>
        <v>2812</v>
      </c>
      <c r="G70" s="91">
        <f t="shared" si="13"/>
        <v>7.7499999999999999E-2</v>
      </c>
      <c r="H70" s="85">
        <v>2.5299999999999998</v>
      </c>
      <c r="I70" s="6">
        <f t="shared" si="19"/>
        <v>11.801054464659115</v>
      </c>
      <c r="J70" s="6">
        <f t="shared" si="11"/>
        <v>3.087556131911851</v>
      </c>
      <c r="K70" s="85"/>
      <c r="L70" s="38">
        <f t="shared" si="10"/>
        <v>8.8515849300161639E-2</v>
      </c>
      <c r="M70" s="85">
        <f t="shared" si="15"/>
        <v>3.1760719812120124</v>
      </c>
      <c r="N70" s="86"/>
      <c r="O70" s="250">
        <f t="shared" ref="O70:O74" si="20">+M70/((1+G70)^(F70/$F$38))</f>
        <v>2.8333117921653952</v>
      </c>
      <c r="P70" s="246">
        <f t="shared" si="17"/>
        <v>2.8333117921653952E-2</v>
      </c>
    </row>
    <row r="71" spans="4:16" ht="12.75" x14ac:dyDescent="0.25">
      <c r="D71" s="17">
        <f t="shared" si="14"/>
        <v>93</v>
      </c>
      <c r="E71" s="235">
        <v>47238</v>
      </c>
      <c r="F71" s="9">
        <f t="shared" si="18"/>
        <v>2845</v>
      </c>
      <c r="G71" s="91">
        <f t="shared" si="13"/>
        <v>7.7499999999999999E-2</v>
      </c>
      <c r="H71" s="85">
        <v>2.54</v>
      </c>
      <c r="I71" s="6">
        <f t="shared" si="19"/>
        <v>8.7012945535697472</v>
      </c>
      <c r="J71" s="6">
        <f t="shared" si="11"/>
        <v>3.0997599110893681</v>
      </c>
      <c r="K71" s="85"/>
      <c r="L71" s="38">
        <f t="shared" si="10"/>
        <v>8.2688210392782707E-2</v>
      </c>
      <c r="M71" s="85">
        <f t="shared" si="15"/>
        <v>3.1824481214821509</v>
      </c>
      <c r="N71" s="86"/>
      <c r="O71" s="250">
        <f t="shared" si="20"/>
        <v>2.8351976214795429</v>
      </c>
      <c r="P71" s="246">
        <f t="shared" si="17"/>
        <v>2.8351976214795429E-2</v>
      </c>
    </row>
    <row r="72" spans="4:16" ht="12.75" x14ac:dyDescent="0.25">
      <c r="D72" s="17">
        <f t="shared" si="14"/>
        <v>94</v>
      </c>
      <c r="E72" s="235">
        <v>47266</v>
      </c>
      <c r="F72" s="9">
        <f t="shared" si="18"/>
        <v>2873</v>
      </c>
      <c r="G72" s="91">
        <f t="shared" si="13"/>
        <v>7.7499999999999999E-2</v>
      </c>
      <c r="H72" s="85">
        <v>2.56</v>
      </c>
      <c r="I72" s="6">
        <f t="shared" si="19"/>
        <v>5.577127084125344</v>
      </c>
      <c r="J72" s="6">
        <f t="shared" si="11"/>
        <v>3.1241674694444028</v>
      </c>
      <c r="K72" s="85"/>
      <c r="L72" s="38">
        <f t="shared" si="10"/>
        <v>5.1730984058209181E-2</v>
      </c>
      <c r="M72" s="85">
        <f t="shared" si="15"/>
        <v>3.175898453502612</v>
      </c>
      <c r="N72" s="86"/>
      <c r="O72" s="250">
        <f t="shared" si="20"/>
        <v>2.8261471307753121</v>
      </c>
      <c r="P72" s="246">
        <f t="shared" si="17"/>
        <v>2.8261471307753121E-2</v>
      </c>
    </row>
    <row r="73" spans="4:16" ht="12.75" x14ac:dyDescent="0.25">
      <c r="D73" s="17">
        <f t="shared" si="14"/>
        <v>95</v>
      </c>
      <c r="E73" s="235">
        <v>47297</v>
      </c>
      <c r="F73" s="9">
        <f t="shared" si="18"/>
        <v>2904</v>
      </c>
      <c r="G73" s="91">
        <f t="shared" si="13"/>
        <v>7.7499999999999999E-2</v>
      </c>
      <c r="H73" s="85">
        <v>2.58</v>
      </c>
      <c r="I73" s="6">
        <f t="shared" si="19"/>
        <v>2.4285520563259069</v>
      </c>
      <c r="J73" s="6">
        <f t="shared" si="11"/>
        <v>3.1485750277994371</v>
      </c>
      <c r="K73" s="85"/>
      <c r="L73" s="38">
        <f t="shared" si="10"/>
        <v>3.6709720053729147E-2</v>
      </c>
      <c r="M73" s="85">
        <f t="shared" si="15"/>
        <v>3.1852847478531663</v>
      </c>
      <c r="N73" s="86"/>
      <c r="O73" s="250">
        <f t="shared" si="20"/>
        <v>2.8309334954838459</v>
      </c>
      <c r="P73" s="246">
        <f t="shared" si="17"/>
        <v>2.830933495483846E-2</v>
      </c>
    </row>
    <row r="74" spans="4:16" ht="12.75" x14ac:dyDescent="0.25">
      <c r="D74" s="17">
        <f t="shared" si="14"/>
        <v>96</v>
      </c>
      <c r="E74" s="235">
        <v>47329</v>
      </c>
      <c r="F74" s="9">
        <f t="shared" si="18"/>
        <v>2936</v>
      </c>
      <c r="G74" s="91">
        <f t="shared" si="13"/>
        <v>7.7499999999999999E-2</v>
      </c>
      <c r="H74" s="85">
        <v>1.99</v>
      </c>
      <c r="I74" s="6">
        <f t="shared" si="19"/>
        <v>-1.5543122344752192E-14</v>
      </c>
      <c r="J74" s="6">
        <f t="shared" si="11"/>
        <v>2.4285520563259224</v>
      </c>
      <c r="K74" s="85"/>
      <c r="L74" s="38">
        <f t="shared" ref="L74" si="21">+YEARFRAC(E73,E74,3)*(G74)*I73</f>
        <v>1.6500846848460957E-2</v>
      </c>
      <c r="M74" s="85">
        <f t="shared" si="15"/>
        <v>2.4450529031743833</v>
      </c>
      <c r="N74" s="86"/>
      <c r="O74" s="250">
        <f t="shared" si="20"/>
        <v>2.1702275533742634</v>
      </c>
      <c r="P74" s="246">
        <f t="shared" si="17"/>
        <v>2.1702275533742633E-2</v>
      </c>
    </row>
    <row r="75" spans="4:16" x14ac:dyDescent="0.25">
      <c r="D75" s="100"/>
      <c r="E75" s="101"/>
      <c r="F75" s="101"/>
      <c r="G75" s="101"/>
      <c r="H75" s="102">
        <f>+SUM(H5:H74)</f>
        <v>100</v>
      </c>
      <c r="I75" s="101"/>
      <c r="J75" s="101"/>
      <c r="K75" s="101"/>
      <c r="L75" s="102">
        <f>+SUM(L5:L74)</f>
        <v>34.588099312782532</v>
      </c>
      <c r="M75" s="102">
        <f>+SUM(M5:M74)</f>
        <v>156.6258910879545</v>
      </c>
    </row>
    <row r="76" spans="4:16" x14ac:dyDescent="0.25">
      <c r="D76" s="36"/>
    </row>
    <row r="77" spans="4:16" x14ac:dyDescent="0.25">
      <c r="D77" s="36"/>
    </row>
    <row r="78" spans="4:16" x14ac:dyDescent="0.25">
      <c r="D78" s="36"/>
    </row>
    <row r="79" spans="4:16" x14ac:dyDescent="0.25">
      <c r="D79" s="36"/>
    </row>
    <row r="80" spans="4:16" x14ac:dyDescent="0.25">
      <c r="D80" s="36"/>
    </row>
    <row r="81" spans="4:4" x14ac:dyDescent="0.25">
      <c r="D81" s="36"/>
    </row>
    <row r="82" spans="4:4" x14ac:dyDescent="0.25">
      <c r="D82" s="36"/>
    </row>
    <row r="83" spans="4:4" x14ac:dyDescent="0.25">
      <c r="D83" s="36"/>
    </row>
    <row r="84" spans="4:4" x14ac:dyDescent="0.25">
      <c r="D84" s="36"/>
    </row>
    <row r="85" spans="4:4" x14ac:dyDescent="0.25">
      <c r="D85" s="36"/>
    </row>
    <row r="86" spans="4:4" x14ac:dyDescent="0.25">
      <c r="D86" s="36"/>
    </row>
    <row r="87" spans="4:4" x14ac:dyDescent="0.25">
      <c r="D87" s="36"/>
    </row>
    <row r="88" spans="4:4" x14ac:dyDescent="0.25">
      <c r="D88" s="36"/>
    </row>
    <row r="89" spans="4:4" x14ac:dyDescent="0.25">
      <c r="D89" s="36"/>
    </row>
    <row r="90" spans="4:4" x14ac:dyDescent="0.25">
      <c r="D90" s="36"/>
    </row>
    <row r="91" spans="4:4" x14ac:dyDescent="0.25">
      <c r="D91" s="36"/>
    </row>
    <row r="92" spans="4:4" x14ac:dyDescent="0.25">
      <c r="D92" s="36"/>
    </row>
    <row r="93" spans="4:4" x14ac:dyDescent="0.25">
      <c r="D93" s="36"/>
    </row>
    <row r="94" spans="4:4" x14ac:dyDescent="0.25">
      <c r="D94" s="36"/>
    </row>
    <row r="95" spans="4:4" x14ac:dyDescent="0.25">
      <c r="D95" s="36"/>
    </row>
    <row r="96" spans="4:4" x14ac:dyDescent="0.25">
      <c r="D96" s="36"/>
    </row>
    <row r="97" spans="4:4" x14ac:dyDescent="0.25">
      <c r="D97" s="36"/>
    </row>
    <row r="98" spans="4:4" x14ac:dyDescent="0.25">
      <c r="D98" s="36"/>
    </row>
    <row r="99" spans="4:4" x14ac:dyDescent="0.25">
      <c r="D99" s="36"/>
    </row>
    <row r="100" spans="4:4" x14ac:dyDescent="0.25">
      <c r="D100" s="36"/>
    </row>
  </sheetData>
  <sheetProtection algorithmName="SHA-512" hashValue="75Y8QXAaqGpEtPSvZP7C5ZzHO6uK1mHC3xHfqqydXHmoEOIjbK7x/diuwTkKRSwNy8iV75+MnJ8b0QOfTodXAQ==" saltValue="1slsXGEY4ZxYBa/Z+NOYM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Interpolacion Curva</vt:lpstr>
      <vt:lpstr>Interpolacion</vt:lpstr>
      <vt:lpstr>GEMSA</vt:lpstr>
      <vt:lpstr>Clase XIV</vt:lpstr>
      <vt:lpstr>Clase XV</vt:lpstr>
      <vt:lpstr>Clase XVI</vt:lpstr>
    </vt:vector>
  </TitlesOfParts>
  <Company>Banco Itau Argentina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Ponieman</dc:creator>
  <cp:lastModifiedBy>Mlisei</cp:lastModifiedBy>
  <cp:lastPrinted>2012-07-11T16:27:23Z</cp:lastPrinted>
  <dcterms:created xsi:type="dcterms:W3CDTF">2012-05-11T18:43:00Z</dcterms:created>
  <dcterms:modified xsi:type="dcterms:W3CDTF">2021-07-14T14:10:27Z</dcterms:modified>
</cp:coreProperties>
</file>