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ba.usr.bpba\files\1296BancadeInversion\EMISIONES\ALBANESI\ON GEMSA Cierre Ciclo Río IV - Mayo 2022\"/>
    </mc:Choice>
  </mc:AlternateContent>
  <xr:revisionPtr revIDLastSave="0" documentId="13_ncr:1_{6AE083C7-5A20-47C1-AC44-68AD615C2EB2}" xr6:coauthVersionLast="36" xr6:coauthVersionMax="36" xr10:uidLastSave="{00000000-0000-0000-0000-000000000000}"/>
  <workbookProtection workbookAlgorithmName="SHA-512" workbookHashValue="QXgJENLTgUd0BhtJqVPeXBxT0tuytV/1WjJiJNSx0d4iWGY3q2YXd+/KPPG5UXGI2dXwC/aPN0B4znPOyc2pwA==" workbookSaltValue="b0hHHxD5fxTuj//SGr5ktQ==" workbookSpinCount="100000" lockStructure="1"/>
  <bookViews>
    <workbookView xWindow="0" yWindow="0" windowWidth="20460" windowHeight="5952" tabRatio="848" firstSheet="2" activeTab="2" xr2:uid="{00000000-000D-0000-FFFF-FFFF00000000}"/>
  </bookViews>
  <sheets>
    <sheet name="Interpolacion Curva" sheetId="26" state="hidden" r:id="rId1"/>
    <sheet name="Interpolacion" sheetId="24" state="hidden" r:id="rId2"/>
    <sheet name="GEMSA" sheetId="15" r:id="rId3"/>
    <sheet name="Clase XIV" sheetId="21" state="hidden" r:id="rId4"/>
    <sheet name="Clase XVII" sheetId="25" r:id="rId5"/>
    <sheet name="Clase XVIII" sheetId="22" r:id="rId6"/>
    <sheet name="Clase XIX" sheetId="29" r:id="rId7"/>
  </sheets>
  <calcPr calcId="191029"/>
</workbook>
</file>

<file path=xl/calcChain.xml><?xml version="1.0" encoding="utf-8"?>
<calcChain xmlns="http://schemas.openxmlformats.org/spreadsheetml/2006/main">
  <c r="M99" i="29" l="1"/>
  <c r="C13" i="29"/>
  <c r="M39" i="22"/>
  <c r="C6" i="25"/>
  <c r="C6" i="22"/>
  <c r="A6" i="25"/>
  <c r="J99" i="29"/>
  <c r="H99" i="29" l="1"/>
  <c r="G5" i="29"/>
  <c r="G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39" i="29"/>
  <c r="G40" i="29"/>
  <c r="G41" i="29"/>
  <c r="G42" i="29"/>
  <c r="G43" i="29"/>
  <c r="G44" i="29"/>
  <c r="G45" i="29"/>
  <c r="G46" i="29"/>
  <c r="G47" i="29"/>
  <c r="G48" i="29"/>
  <c r="G49" i="29"/>
  <c r="G50" i="29"/>
  <c r="G51" i="29"/>
  <c r="G52" i="29"/>
  <c r="G53" i="29"/>
  <c r="G54" i="29"/>
  <c r="G55" i="29"/>
  <c r="G56" i="29"/>
  <c r="G57" i="29"/>
  <c r="G58" i="29"/>
  <c r="G59" i="29"/>
  <c r="G60" i="29"/>
  <c r="G61" i="29"/>
  <c r="G62" i="29"/>
  <c r="G63" i="29"/>
  <c r="G64" i="29"/>
  <c r="G65" i="29"/>
  <c r="G66" i="29"/>
  <c r="G67" i="29"/>
  <c r="G68" i="29"/>
  <c r="G69" i="29"/>
  <c r="G70" i="29"/>
  <c r="G71" i="29"/>
  <c r="G72" i="29"/>
  <c r="G73" i="29"/>
  <c r="G74" i="29"/>
  <c r="G75" i="29"/>
  <c r="G76" i="29"/>
  <c r="G77" i="29"/>
  <c r="G78" i="29"/>
  <c r="G79" i="29"/>
  <c r="G80" i="29"/>
  <c r="G81" i="29"/>
  <c r="G82" i="29"/>
  <c r="G83" i="29"/>
  <c r="G84" i="29"/>
  <c r="G85" i="29"/>
  <c r="G86" i="29"/>
  <c r="G87" i="29"/>
  <c r="G88" i="29"/>
  <c r="G89" i="29"/>
  <c r="G90" i="29"/>
  <c r="G91" i="29"/>
  <c r="G92" i="29"/>
  <c r="G93" i="29"/>
  <c r="G94" i="29"/>
  <c r="G95" i="29"/>
  <c r="G96" i="29"/>
  <c r="G97" i="29"/>
  <c r="G98" i="29"/>
  <c r="G4" i="29"/>
  <c r="C6" i="29"/>
  <c r="C3" i="29"/>
  <c r="M4" i="29" s="1"/>
  <c r="A2" i="29"/>
  <c r="E11" i="29"/>
  <c r="E12" i="29" s="1"/>
  <c r="D10" i="29"/>
  <c r="D11" i="29" s="1"/>
  <c r="D12" i="29" s="1"/>
  <c r="D13" i="29" s="1"/>
  <c r="D14" i="29" s="1"/>
  <c r="D15" i="29" s="1"/>
  <c r="D16" i="29" s="1"/>
  <c r="D17" i="29" s="1"/>
  <c r="D18" i="29" s="1"/>
  <c r="D19" i="29" s="1"/>
  <c r="D20" i="29" s="1"/>
  <c r="D21" i="29" s="1"/>
  <c r="D22" i="29" s="1"/>
  <c r="D23" i="29" s="1"/>
  <c r="D24" i="29" s="1"/>
  <c r="D25" i="29" s="1"/>
  <c r="D26" i="29" s="1"/>
  <c r="D27" i="29" s="1"/>
  <c r="D28" i="29" s="1"/>
  <c r="D29" i="29" s="1"/>
  <c r="D30" i="29" s="1"/>
  <c r="D31" i="29" s="1"/>
  <c r="D32" i="29" s="1"/>
  <c r="D33" i="29" s="1"/>
  <c r="D34" i="29" s="1"/>
  <c r="D35" i="29" s="1"/>
  <c r="D36" i="29" s="1"/>
  <c r="D37" i="29" s="1"/>
  <c r="D38" i="29" s="1"/>
  <c r="D39" i="29" s="1"/>
  <c r="D40" i="29" s="1"/>
  <c r="D41" i="29" s="1"/>
  <c r="D42" i="29" s="1"/>
  <c r="D43" i="29" s="1"/>
  <c r="D44" i="29" s="1"/>
  <c r="D45" i="29" s="1"/>
  <c r="D46" i="29" s="1"/>
  <c r="D47" i="29" s="1"/>
  <c r="D48" i="29" s="1"/>
  <c r="D49" i="29" s="1"/>
  <c r="D50" i="29" s="1"/>
  <c r="D51" i="29" s="1"/>
  <c r="D52" i="29" s="1"/>
  <c r="D53" i="29" s="1"/>
  <c r="D54" i="29" s="1"/>
  <c r="D55" i="29" s="1"/>
  <c r="D56" i="29" s="1"/>
  <c r="D57" i="29" s="1"/>
  <c r="D58" i="29" s="1"/>
  <c r="D59" i="29" s="1"/>
  <c r="D60" i="29" s="1"/>
  <c r="D61" i="29" s="1"/>
  <c r="D62" i="29" s="1"/>
  <c r="D63" i="29" s="1"/>
  <c r="D64" i="29" s="1"/>
  <c r="D65" i="29" s="1"/>
  <c r="D66" i="29" s="1"/>
  <c r="D67" i="29" s="1"/>
  <c r="D68" i="29" s="1"/>
  <c r="D69" i="29" s="1"/>
  <c r="D70" i="29" s="1"/>
  <c r="D71" i="29" s="1"/>
  <c r="D72" i="29" s="1"/>
  <c r="D73" i="29" s="1"/>
  <c r="D74" i="29" s="1"/>
  <c r="D75" i="29" s="1"/>
  <c r="D76" i="29" s="1"/>
  <c r="D77" i="29" s="1"/>
  <c r="D78" i="29" s="1"/>
  <c r="D79" i="29" s="1"/>
  <c r="D80" i="29" s="1"/>
  <c r="D81" i="29" s="1"/>
  <c r="D82" i="29" s="1"/>
  <c r="D83" i="29" s="1"/>
  <c r="D84" i="29" s="1"/>
  <c r="D85" i="29" s="1"/>
  <c r="D86" i="29" s="1"/>
  <c r="D87" i="29" s="1"/>
  <c r="D88" i="29" s="1"/>
  <c r="D89" i="29" s="1"/>
  <c r="D90" i="29" s="1"/>
  <c r="D91" i="29" s="1"/>
  <c r="D92" i="29" s="1"/>
  <c r="D93" i="29" s="1"/>
  <c r="D94" i="29" s="1"/>
  <c r="D95" i="29" s="1"/>
  <c r="D96" i="29" s="1"/>
  <c r="D97" i="29" s="1"/>
  <c r="D98" i="29" s="1"/>
  <c r="M9" i="29"/>
  <c r="M8" i="29"/>
  <c r="M7" i="29"/>
  <c r="M6" i="29"/>
  <c r="M5" i="29"/>
  <c r="J11" i="15"/>
  <c r="E13" i="29" l="1"/>
  <c r="I4" i="29"/>
  <c r="E14" i="29" l="1"/>
  <c r="G12" i="15"/>
  <c r="J12" i="15" s="1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E11" i="22"/>
  <c r="E12" i="22" s="1"/>
  <c r="D10" i="22"/>
  <c r="D11" i="22" s="1"/>
  <c r="D12" i="22" s="1"/>
  <c r="D13" i="22" s="1"/>
  <c r="D14" i="22" s="1"/>
  <c r="D15" i="22" s="1"/>
  <c r="D16" i="22" s="1"/>
  <c r="D17" i="22" s="1"/>
  <c r="D18" i="22" s="1"/>
  <c r="D19" i="22" s="1"/>
  <c r="D20" i="22" s="1"/>
  <c r="D21" i="22" s="1"/>
  <c r="D22" i="22" s="1"/>
  <c r="D23" i="22" s="1"/>
  <c r="D24" i="22" s="1"/>
  <c r="D25" i="22" s="1"/>
  <c r="D26" i="22" s="1"/>
  <c r="D27" i="22" s="1"/>
  <c r="D28" i="22" s="1"/>
  <c r="D29" i="22" s="1"/>
  <c r="D30" i="22" s="1"/>
  <c r="D31" i="22" s="1"/>
  <c r="D32" i="22" s="1"/>
  <c r="D33" i="22" s="1"/>
  <c r="D34" i="22" s="1"/>
  <c r="D35" i="22" s="1"/>
  <c r="D36" i="22" s="1"/>
  <c r="D37" i="22" s="1"/>
  <c r="D38" i="22" s="1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4" i="22"/>
  <c r="G5" i="22"/>
  <c r="A2" i="22"/>
  <c r="A2" i="25"/>
  <c r="G6" i="15"/>
  <c r="J6" i="15" s="1"/>
  <c r="C4" i="29" s="1"/>
  <c r="E3" i="29" s="1"/>
  <c r="G5" i="15"/>
  <c r="J5" i="15" s="1"/>
  <c r="F10" i="29" l="1"/>
  <c r="F12" i="29"/>
  <c r="E4" i="29"/>
  <c r="F11" i="29"/>
  <c r="F13" i="29"/>
  <c r="E15" i="29"/>
  <c r="F14" i="29"/>
  <c r="E13" i="22"/>
  <c r="E11" i="25"/>
  <c r="E12" i="25" s="1"/>
  <c r="E13" i="25" s="1"/>
  <c r="E14" i="25" s="1"/>
  <c r="E15" i="25" s="1"/>
  <c r="E16" i="25" s="1"/>
  <c r="E17" i="25" s="1"/>
  <c r="E18" i="25" s="1"/>
  <c r="E19" i="25" s="1"/>
  <c r="E20" i="25" s="1"/>
  <c r="E21" i="25" s="1"/>
  <c r="E22" i="25" s="1"/>
  <c r="E23" i="25" s="1"/>
  <c r="E24" i="25" s="1"/>
  <c r="E25" i="25" s="1"/>
  <c r="E26" i="25" s="1"/>
  <c r="E27" i="25" s="1"/>
  <c r="E28" i="25" s="1"/>
  <c r="E29" i="25" s="1"/>
  <c r="E30" i="25" s="1"/>
  <c r="E31" i="25" s="1"/>
  <c r="E32" i="25" s="1"/>
  <c r="E33" i="25" s="1"/>
  <c r="E34" i="25" s="1"/>
  <c r="E35" i="25" s="1"/>
  <c r="E36" i="25" s="1"/>
  <c r="E37" i="25" s="1"/>
  <c r="E38" i="25" s="1"/>
  <c r="D7" i="15" s="1"/>
  <c r="C4" i="25"/>
  <c r="E8" i="29" l="1"/>
  <c r="F8" i="29" s="1"/>
  <c r="E5" i="29"/>
  <c r="F5" i="29" s="1"/>
  <c r="F4" i="29"/>
  <c r="K5" i="29"/>
  <c r="I5" i="29" s="1"/>
  <c r="E9" i="29"/>
  <c r="F9" i="29" s="1"/>
  <c r="E6" i="29"/>
  <c r="F6" i="29" s="1"/>
  <c r="E7" i="29"/>
  <c r="F7" i="29" s="1"/>
  <c r="E16" i="29"/>
  <c r="F15" i="29"/>
  <c r="E14" i="22"/>
  <c r="D10" i="25"/>
  <c r="K6" i="29" l="1"/>
  <c r="I6" i="29" s="1"/>
  <c r="K7" i="29" s="1"/>
  <c r="I7" i="29" s="1"/>
  <c r="F16" i="29"/>
  <c r="E17" i="29"/>
  <c r="K8" i="29"/>
  <c r="I8" i="29" s="1"/>
  <c r="E15" i="22"/>
  <c r="B23" i="21"/>
  <c r="B24" i="21" s="1"/>
  <c r="C3" i="25"/>
  <c r="C3" i="22"/>
  <c r="C3" i="21"/>
  <c r="K9" i="29" l="1"/>
  <c r="I9" i="29" s="1"/>
  <c r="F17" i="29"/>
  <c r="E18" i="29"/>
  <c r="E16" i="22"/>
  <c r="H39" i="25"/>
  <c r="M9" i="25"/>
  <c r="M8" i="25"/>
  <c r="M7" i="25"/>
  <c r="M6" i="25"/>
  <c r="M5" i="25"/>
  <c r="I4" i="25"/>
  <c r="J98" i="29" l="1"/>
  <c r="J96" i="29"/>
  <c r="J94" i="29"/>
  <c r="J92" i="29"/>
  <c r="J90" i="29"/>
  <c r="J88" i="29"/>
  <c r="J86" i="29"/>
  <c r="J84" i="29"/>
  <c r="J82" i="29"/>
  <c r="J80" i="29"/>
  <c r="J78" i="29"/>
  <c r="J76" i="29"/>
  <c r="J74" i="29"/>
  <c r="J72" i="29"/>
  <c r="J70" i="29"/>
  <c r="J68" i="29"/>
  <c r="J66" i="29"/>
  <c r="J64" i="29"/>
  <c r="J62" i="29"/>
  <c r="J60" i="29"/>
  <c r="J58" i="29"/>
  <c r="J56" i="29"/>
  <c r="J54" i="29"/>
  <c r="J52" i="29"/>
  <c r="J50" i="29"/>
  <c r="J48" i="29"/>
  <c r="J46" i="29"/>
  <c r="J44" i="29"/>
  <c r="J95" i="29"/>
  <c r="J91" i="29"/>
  <c r="J87" i="29"/>
  <c r="J83" i="29"/>
  <c r="J79" i="29"/>
  <c r="J75" i="29"/>
  <c r="J71" i="29"/>
  <c r="J67" i="29"/>
  <c r="J63" i="29"/>
  <c r="J59" i="29"/>
  <c r="J55" i="29"/>
  <c r="J51" i="29"/>
  <c r="J47" i="29"/>
  <c r="J43" i="29"/>
  <c r="J41" i="29"/>
  <c r="J39" i="29"/>
  <c r="J97" i="29"/>
  <c r="J93" i="29"/>
  <c r="J89" i="29"/>
  <c r="J85" i="29"/>
  <c r="J81" i="29"/>
  <c r="J77" i="29"/>
  <c r="J73" i="29"/>
  <c r="J69" i="29"/>
  <c r="J65" i="29"/>
  <c r="J61" i="29"/>
  <c r="J57" i="29"/>
  <c r="J53" i="29"/>
  <c r="J49" i="29"/>
  <c r="J45" i="29"/>
  <c r="J42" i="29"/>
  <c r="J40" i="29"/>
  <c r="J10" i="29"/>
  <c r="J34" i="29"/>
  <c r="J22" i="29"/>
  <c r="J36" i="29"/>
  <c r="J30" i="29"/>
  <c r="J24" i="29"/>
  <c r="J18" i="29"/>
  <c r="J11" i="29"/>
  <c r="J13" i="29"/>
  <c r="J23" i="29"/>
  <c r="J17" i="29"/>
  <c r="J37" i="29"/>
  <c r="J31" i="29"/>
  <c r="J25" i="29"/>
  <c r="J19" i="29"/>
  <c r="J12" i="29"/>
  <c r="J16" i="29"/>
  <c r="L10" i="29"/>
  <c r="J38" i="29"/>
  <c r="J32" i="29"/>
  <c r="J26" i="29"/>
  <c r="J20" i="29"/>
  <c r="J14" i="29"/>
  <c r="J28" i="29"/>
  <c r="J35" i="29"/>
  <c r="J33" i="29"/>
  <c r="J27" i="29"/>
  <c r="J21" i="29"/>
  <c r="J15" i="29"/>
  <c r="J29" i="29"/>
  <c r="F18" i="29"/>
  <c r="E19" i="29"/>
  <c r="E17" i="22"/>
  <c r="M3" i="25"/>
  <c r="G5" i="21"/>
  <c r="I10" i="29" l="1"/>
  <c r="L11" i="29"/>
  <c r="M11" i="29" s="1"/>
  <c r="I11" i="29"/>
  <c r="E20" i="29"/>
  <c r="F19" i="29"/>
  <c r="M10" i="29"/>
  <c r="E18" i="22"/>
  <c r="I12" i="29" l="1"/>
  <c r="L12" i="29"/>
  <c r="M12" i="29" s="1"/>
  <c r="F20" i="29"/>
  <c r="E21" i="29"/>
  <c r="E19" i="22"/>
  <c r="M6" i="21"/>
  <c r="M7" i="21"/>
  <c r="M8" i="21"/>
  <c r="M9" i="21"/>
  <c r="M5" i="21"/>
  <c r="M4" i="22"/>
  <c r="E22" i="29" l="1"/>
  <c r="F21" i="29"/>
  <c r="I13" i="29"/>
  <c r="L13" i="29"/>
  <c r="M13" i="29" s="1"/>
  <c r="E20" i="22"/>
  <c r="H39" i="22"/>
  <c r="I4" i="22"/>
  <c r="E6" i="21"/>
  <c r="E7" i="21" s="1"/>
  <c r="H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M4" i="21"/>
  <c r="A2" i="21"/>
  <c r="C4" i="22"/>
  <c r="C4" i="21"/>
  <c r="E3" i="21" s="1"/>
  <c r="F5" i="21" s="1"/>
  <c r="L14" i="29" l="1"/>
  <c r="M14" i="29" s="1"/>
  <c r="I14" i="29"/>
  <c r="F22" i="29"/>
  <c r="E23" i="29"/>
  <c r="E21" i="22"/>
  <c r="F7" i="21"/>
  <c r="F10" i="21"/>
  <c r="E3" i="22"/>
  <c r="F20" i="22" s="1"/>
  <c r="E8" i="21"/>
  <c r="E4" i="21"/>
  <c r="C5" i="21"/>
  <c r="F6" i="21"/>
  <c r="I15" i="29" l="1"/>
  <c r="L15" i="29"/>
  <c r="M15" i="29" s="1"/>
  <c r="F23" i="29"/>
  <c r="E24" i="29"/>
  <c r="E4" i="22"/>
  <c r="F11" i="22"/>
  <c r="F10" i="22"/>
  <c r="F12" i="22"/>
  <c r="F13" i="22"/>
  <c r="F14" i="22"/>
  <c r="F15" i="22"/>
  <c r="F16" i="22"/>
  <c r="F17" i="22"/>
  <c r="F18" i="22"/>
  <c r="F19" i="22"/>
  <c r="E22" i="22"/>
  <c r="F21" i="22"/>
  <c r="F4" i="21"/>
  <c r="K5" i="21"/>
  <c r="I5" i="21" s="1"/>
  <c r="K6" i="21" s="1"/>
  <c r="F8" i="21"/>
  <c r="F24" i="29" l="1"/>
  <c r="E25" i="29"/>
  <c r="I16" i="29"/>
  <c r="L16" i="29"/>
  <c r="M16" i="29" s="1"/>
  <c r="F4" i="22"/>
  <c r="E7" i="22"/>
  <c r="F7" i="22" s="1"/>
  <c r="E9" i="22"/>
  <c r="F9" i="22" s="1"/>
  <c r="E5" i="22"/>
  <c r="E8" i="22"/>
  <c r="F8" i="22" s="1"/>
  <c r="E6" i="22"/>
  <c r="F6" i="22" s="1"/>
  <c r="E23" i="22"/>
  <c r="F22" i="22"/>
  <c r="I17" i="29" l="1"/>
  <c r="L17" i="29"/>
  <c r="M17" i="29" s="1"/>
  <c r="F25" i="29"/>
  <c r="E26" i="29"/>
  <c r="F5" i="22"/>
  <c r="K5" i="22"/>
  <c r="I5" i="22" s="1"/>
  <c r="E24" i="22"/>
  <c r="F23" i="22"/>
  <c r="E3" i="25"/>
  <c r="E4" i="25" s="1"/>
  <c r="E27" i="29" l="1"/>
  <c r="F26" i="29"/>
  <c r="L18" i="29"/>
  <c r="M18" i="29" s="1"/>
  <c r="I18" i="29"/>
  <c r="K6" i="22"/>
  <c r="I6" i="22" s="1"/>
  <c r="K7" i="22" s="1"/>
  <c r="I7" i="22" s="1"/>
  <c r="K8" i="22" s="1"/>
  <c r="E25" i="22"/>
  <c r="F24" i="22"/>
  <c r="E8" i="25"/>
  <c r="F8" i="25" s="1"/>
  <c r="E6" i="25"/>
  <c r="F6" i="25" s="1"/>
  <c r="E9" i="25"/>
  <c r="F9" i="25" s="1"/>
  <c r="E7" i="25"/>
  <c r="F7" i="25" s="1"/>
  <c r="E5" i="25"/>
  <c r="F5" i="25" s="1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I19" i="29" l="1"/>
  <c r="L19" i="29"/>
  <c r="M19" i="29" s="1"/>
  <c r="E28" i="29"/>
  <c r="F27" i="29"/>
  <c r="E26" i="22"/>
  <c r="F25" i="22"/>
  <c r="O7" i="25"/>
  <c r="P7" i="25" s="1"/>
  <c r="O9" i="25"/>
  <c r="P9" i="25" s="1"/>
  <c r="F4" i="25"/>
  <c r="K5" i="25"/>
  <c r="I5" i="25" s="1"/>
  <c r="O5" i="25"/>
  <c r="P5" i="25" s="1"/>
  <c r="O6" i="25"/>
  <c r="P6" i="25" s="1"/>
  <c r="O8" i="25"/>
  <c r="P8" i="25" s="1"/>
  <c r="F28" i="29" l="1"/>
  <c r="E29" i="29"/>
  <c r="L20" i="29"/>
  <c r="M20" i="29" s="1"/>
  <c r="I20" i="29"/>
  <c r="E27" i="22"/>
  <c r="F26" i="22"/>
  <c r="K6" i="25"/>
  <c r="I6" i="25" s="1"/>
  <c r="F11" i="21"/>
  <c r="I21" i="29" l="1"/>
  <c r="L21" i="29"/>
  <c r="M21" i="29" s="1"/>
  <c r="F29" i="29"/>
  <c r="E30" i="29"/>
  <c r="E28" i="22"/>
  <c r="F27" i="22"/>
  <c r="K7" i="25"/>
  <c r="I7" i="25" s="1"/>
  <c r="F12" i="21"/>
  <c r="F30" i="29" l="1"/>
  <c r="E31" i="29"/>
  <c r="I22" i="29"/>
  <c r="L22" i="29"/>
  <c r="M22" i="29" s="1"/>
  <c r="E29" i="22"/>
  <c r="F28" i="22"/>
  <c r="K8" i="25"/>
  <c r="I8" i="25" s="1"/>
  <c r="F13" i="21"/>
  <c r="I23" i="29" l="1"/>
  <c r="L23" i="29"/>
  <c r="M23" i="29" s="1"/>
  <c r="E32" i="29"/>
  <c r="F31" i="29"/>
  <c r="E30" i="22"/>
  <c r="F29" i="22"/>
  <c r="K9" i="25"/>
  <c r="I9" i="25" s="1"/>
  <c r="F14" i="21"/>
  <c r="E33" i="29" l="1"/>
  <c r="F32" i="29"/>
  <c r="L24" i="29"/>
  <c r="M24" i="29" s="1"/>
  <c r="I24" i="29"/>
  <c r="E31" i="22"/>
  <c r="F30" i="22"/>
  <c r="J12" i="25"/>
  <c r="J14" i="25"/>
  <c r="J16" i="25"/>
  <c r="J18" i="25"/>
  <c r="J20" i="25"/>
  <c r="J22" i="25"/>
  <c r="J24" i="25"/>
  <c r="J26" i="25"/>
  <c r="J28" i="25"/>
  <c r="J30" i="25"/>
  <c r="J32" i="25"/>
  <c r="J34" i="25"/>
  <c r="J36" i="25"/>
  <c r="J38" i="25"/>
  <c r="J11" i="25"/>
  <c r="J13" i="25"/>
  <c r="J15" i="25"/>
  <c r="J17" i="25"/>
  <c r="J19" i="25"/>
  <c r="J21" i="25"/>
  <c r="J23" i="25"/>
  <c r="J25" i="25"/>
  <c r="J27" i="25"/>
  <c r="J29" i="25"/>
  <c r="J31" i="25"/>
  <c r="J33" i="25"/>
  <c r="J35" i="25"/>
  <c r="J37" i="25"/>
  <c r="J10" i="25"/>
  <c r="L10" i="25"/>
  <c r="F15" i="21"/>
  <c r="I25" i="29" l="1"/>
  <c r="L25" i="29"/>
  <c r="M25" i="29" s="1"/>
  <c r="E34" i="29"/>
  <c r="F33" i="29"/>
  <c r="J39" i="25"/>
  <c r="C14" i="25" s="1"/>
  <c r="E32" i="22"/>
  <c r="F31" i="22"/>
  <c r="F16" i="21"/>
  <c r="F34" i="29" l="1"/>
  <c r="E35" i="29"/>
  <c r="L26" i="29"/>
  <c r="M26" i="29" s="1"/>
  <c r="I26" i="29"/>
  <c r="E33" i="22"/>
  <c r="F32" i="22"/>
  <c r="F17" i="21"/>
  <c r="I27" i="29" l="1"/>
  <c r="L27" i="29"/>
  <c r="M27" i="29" s="1"/>
  <c r="F35" i="29"/>
  <c r="E36" i="29"/>
  <c r="E34" i="22"/>
  <c r="F33" i="22"/>
  <c r="F18" i="21"/>
  <c r="F36" i="29" l="1"/>
  <c r="E37" i="29"/>
  <c r="I28" i="29"/>
  <c r="L28" i="29"/>
  <c r="M28" i="29" s="1"/>
  <c r="E35" i="22"/>
  <c r="F34" i="22"/>
  <c r="F19" i="21"/>
  <c r="I29" i="29" l="1"/>
  <c r="L29" i="29"/>
  <c r="M29" i="29" s="1"/>
  <c r="E38" i="29"/>
  <c r="F37" i="29"/>
  <c r="E36" i="22"/>
  <c r="F35" i="22"/>
  <c r="F20" i="21"/>
  <c r="E39" i="29" l="1"/>
  <c r="F38" i="29"/>
  <c r="L30" i="29"/>
  <c r="M30" i="29" s="1"/>
  <c r="O30" i="29" s="1"/>
  <c r="P30" i="29" s="1"/>
  <c r="I30" i="29"/>
  <c r="E37" i="22"/>
  <c r="F36" i="22"/>
  <c r="F21" i="21"/>
  <c r="E40" i="29" l="1"/>
  <c r="F39" i="29"/>
  <c r="I31" i="29"/>
  <c r="L31" i="29"/>
  <c r="M31" i="29" s="1"/>
  <c r="O31" i="29" s="1"/>
  <c r="P31" i="29" s="1"/>
  <c r="O7" i="29"/>
  <c r="P7" i="29" s="1"/>
  <c r="O6" i="29"/>
  <c r="P6" i="29" s="1"/>
  <c r="O8" i="29"/>
  <c r="P8" i="29" s="1"/>
  <c r="O5" i="29"/>
  <c r="O9" i="29"/>
  <c r="P9" i="29" s="1"/>
  <c r="O11" i="29"/>
  <c r="P11" i="29" s="1"/>
  <c r="O10" i="29"/>
  <c r="P10" i="29" s="1"/>
  <c r="O12" i="29"/>
  <c r="P12" i="29" s="1"/>
  <c r="O13" i="29"/>
  <c r="P13" i="29" s="1"/>
  <c r="O14" i="29"/>
  <c r="P14" i="29" s="1"/>
  <c r="O15" i="29"/>
  <c r="P15" i="29" s="1"/>
  <c r="O16" i="29"/>
  <c r="P16" i="29" s="1"/>
  <c r="O17" i="29"/>
  <c r="P17" i="29" s="1"/>
  <c r="O18" i="29"/>
  <c r="P18" i="29" s="1"/>
  <c r="O19" i="29"/>
  <c r="P19" i="29" s="1"/>
  <c r="O20" i="29"/>
  <c r="P20" i="29" s="1"/>
  <c r="O21" i="29"/>
  <c r="P21" i="29" s="1"/>
  <c r="O22" i="29"/>
  <c r="P22" i="29" s="1"/>
  <c r="O23" i="29"/>
  <c r="P23" i="29" s="1"/>
  <c r="O24" i="29"/>
  <c r="P24" i="29" s="1"/>
  <c r="O25" i="29"/>
  <c r="P25" i="29" s="1"/>
  <c r="O26" i="29"/>
  <c r="P26" i="29" s="1"/>
  <c r="O27" i="29"/>
  <c r="P27" i="29" s="1"/>
  <c r="O28" i="29"/>
  <c r="P28" i="29" s="1"/>
  <c r="O29" i="29"/>
  <c r="P29" i="29" s="1"/>
  <c r="E38" i="22"/>
  <c r="F37" i="22"/>
  <c r="F22" i="21"/>
  <c r="E41" i="29" l="1"/>
  <c r="F40" i="29"/>
  <c r="P5" i="29"/>
  <c r="L32" i="29"/>
  <c r="M32" i="29" s="1"/>
  <c r="O32" i="29" s="1"/>
  <c r="P32" i="29" s="1"/>
  <c r="I32" i="29"/>
  <c r="F38" i="22"/>
  <c r="C5" i="22"/>
  <c r="G7" i="15" s="1"/>
  <c r="F23" i="21"/>
  <c r="E42" i="29" l="1"/>
  <c r="F41" i="29"/>
  <c r="I33" i="29"/>
  <c r="L33" i="29"/>
  <c r="M33" i="29" s="1"/>
  <c r="O33" i="29" s="1"/>
  <c r="P33" i="29" s="1"/>
  <c r="F24" i="21"/>
  <c r="E43" i="29" l="1"/>
  <c r="F42" i="29"/>
  <c r="I34" i="29"/>
  <c r="L34" i="29"/>
  <c r="M34" i="29" s="1"/>
  <c r="O34" i="29" s="1"/>
  <c r="P34" i="29" s="1"/>
  <c r="F25" i="21"/>
  <c r="E44" i="29" l="1"/>
  <c r="F43" i="29"/>
  <c r="I35" i="29"/>
  <c r="L35" i="29"/>
  <c r="M35" i="29" s="1"/>
  <c r="O35" i="29" s="1"/>
  <c r="P35" i="29" s="1"/>
  <c r="F26" i="21"/>
  <c r="E45" i="29" l="1"/>
  <c r="F44" i="29"/>
  <c r="L36" i="29"/>
  <c r="M36" i="29" s="1"/>
  <c r="O36" i="29" s="1"/>
  <c r="P36" i="29" s="1"/>
  <c r="I36" i="29"/>
  <c r="F27" i="21"/>
  <c r="E46" i="29" l="1"/>
  <c r="F45" i="29"/>
  <c r="I37" i="29"/>
  <c r="L37" i="29"/>
  <c r="M37" i="29" s="1"/>
  <c r="O37" i="29" s="1"/>
  <c r="P37" i="29" s="1"/>
  <c r="F28" i="21"/>
  <c r="E47" i="29" l="1"/>
  <c r="F46" i="29"/>
  <c r="L38" i="29"/>
  <c r="M38" i="29" s="1"/>
  <c r="I38" i="29"/>
  <c r="F29" i="21"/>
  <c r="I39" i="29" l="1"/>
  <c r="L39" i="29"/>
  <c r="M39" i="29" s="1"/>
  <c r="O39" i="29" s="1"/>
  <c r="P39" i="29" s="1"/>
  <c r="E48" i="29"/>
  <c r="F47" i="29"/>
  <c r="O38" i="29"/>
  <c r="F30" i="21"/>
  <c r="E49" i="29" l="1"/>
  <c r="F48" i="29"/>
  <c r="I40" i="29"/>
  <c r="L40" i="29"/>
  <c r="M40" i="29" s="1"/>
  <c r="O40" i="29" s="1"/>
  <c r="P40" i="29" s="1"/>
  <c r="P38" i="29"/>
  <c r="F31" i="21"/>
  <c r="E50" i="29" l="1"/>
  <c r="F49" i="29"/>
  <c r="I41" i="29"/>
  <c r="L41" i="29"/>
  <c r="M41" i="29" s="1"/>
  <c r="O41" i="29" s="1"/>
  <c r="P41" i="29" s="1"/>
  <c r="F32" i="21"/>
  <c r="I42" i="29" l="1"/>
  <c r="L42" i="29"/>
  <c r="M42" i="29" s="1"/>
  <c r="O42" i="29" s="1"/>
  <c r="P42" i="29" s="1"/>
  <c r="E51" i="29"/>
  <c r="F50" i="29"/>
  <c r="F33" i="21"/>
  <c r="E52" i="29" l="1"/>
  <c r="F51" i="29"/>
  <c r="I43" i="29"/>
  <c r="L43" i="29"/>
  <c r="M43" i="29" s="1"/>
  <c r="O43" i="29" s="1"/>
  <c r="P43" i="29" s="1"/>
  <c r="F34" i="21"/>
  <c r="I44" i="29" l="1"/>
  <c r="L44" i="29"/>
  <c r="M44" i="29" s="1"/>
  <c r="O44" i="29" s="1"/>
  <c r="P44" i="29" s="1"/>
  <c r="E53" i="29"/>
  <c r="F52" i="29"/>
  <c r="F35" i="21"/>
  <c r="E54" i="29" l="1"/>
  <c r="F53" i="29"/>
  <c r="I45" i="29"/>
  <c r="L45" i="29"/>
  <c r="M45" i="29" s="1"/>
  <c r="O45" i="29" s="1"/>
  <c r="P45" i="29" s="1"/>
  <c r="F36" i="21"/>
  <c r="I46" i="29" l="1"/>
  <c r="L46" i="29"/>
  <c r="M46" i="29" s="1"/>
  <c r="O46" i="29" s="1"/>
  <c r="P46" i="29" s="1"/>
  <c r="E55" i="29"/>
  <c r="F54" i="29"/>
  <c r="F37" i="21"/>
  <c r="F38" i="21"/>
  <c r="E56" i="29" l="1"/>
  <c r="F55" i="29"/>
  <c r="I47" i="29"/>
  <c r="L47" i="29"/>
  <c r="M47" i="29" s="1"/>
  <c r="O47" i="29" s="1"/>
  <c r="P47" i="29" s="1"/>
  <c r="O5" i="21"/>
  <c r="O7" i="21"/>
  <c r="P7" i="21" s="1"/>
  <c r="O6" i="21"/>
  <c r="P6" i="21" s="1"/>
  <c r="O8" i="21"/>
  <c r="P8" i="21" s="1"/>
  <c r="I48" i="29" l="1"/>
  <c r="L48" i="29"/>
  <c r="M48" i="29" s="1"/>
  <c r="O48" i="29" s="1"/>
  <c r="P48" i="29" s="1"/>
  <c r="E57" i="29"/>
  <c r="F56" i="29"/>
  <c r="P5" i="21"/>
  <c r="E58" i="29" l="1"/>
  <c r="F57" i="29"/>
  <c r="I49" i="29"/>
  <c r="L49" i="29"/>
  <c r="M49" i="29" s="1"/>
  <c r="O49" i="29" s="1"/>
  <c r="P49" i="29" s="1"/>
  <c r="M5" i="22"/>
  <c r="O5" i="22" s="1"/>
  <c r="M8" i="22"/>
  <c r="O8" i="22" s="1"/>
  <c r="P8" i="22" s="1"/>
  <c r="M9" i="22"/>
  <c r="M7" i="22"/>
  <c r="O7" i="22" s="1"/>
  <c r="P7" i="22" s="1"/>
  <c r="M6" i="22"/>
  <c r="O6" i="22" s="1"/>
  <c r="P6" i="22" s="1"/>
  <c r="I50" i="29" l="1"/>
  <c r="L50" i="29"/>
  <c r="M50" i="29" s="1"/>
  <c r="O50" i="29" s="1"/>
  <c r="P50" i="29" s="1"/>
  <c r="E59" i="29"/>
  <c r="F58" i="29"/>
  <c r="P5" i="22"/>
  <c r="I8" i="22"/>
  <c r="E60" i="29" l="1"/>
  <c r="F59" i="29"/>
  <c r="I51" i="29"/>
  <c r="L51" i="29"/>
  <c r="M51" i="29" s="1"/>
  <c r="O51" i="29" s="1"/>
  <c r="P51" i="29" s="1"/>
  <c r="I6" i="21"/>
  <c r="I52" i="29" l="1"/>
  <c r="L52" i="29"/>
  <c r="M52" i="29" s="1"/>
  <c r="O52" i="29" s="1"/>
  <c r="P52" i="29" s="1"/>
  <c r="E61" i="29"/>
  <c r="F60" i="29"/>
  <c r="K7" i="21"/>
  <c r="I7" i="21" s="1"/>
  <c r="E62" i="29" l="1"/>
  <c r="F61" i="29"/>
  <c r="I53" i="29"/>
  <c r="L53" i="29"/>
  <c r="M53" i="29" s="1"/>
  <c r="O53" i="29" s="1"/>
  <c r="P53" i="29" s="1"/>
  <c r="K8" i="21"/>
  <c r="I8" i="21" s="1"/>
  <c r="I54" i="29" l="1"/>
  <c r="L54" i="29"/>
  <c r="M54" i="29" s="1"/>
  <c r="O54" i="29" s="1"/>
  <c r="P54" i="29" s="1"/>
  <c r="E63" i="29"/>
  <c r="F62" i="29"/>
  <c r="D11" i="25"/>
  <c r="D12" i="25" s="1"/>
  <c r="D13" i="25" s="1"/>
  <c r="D14" i="25" s="1"/>
  <c r="D15" i="25" s="1"/>
  <c r="D16" i="25" s="1"/>
  <c r="D17" i="25" s="1"/>
  <c r="D18" i="25" s="1"/>
  <c r="D19" i="25" s="1"/>
  <c r="D20" i="25" s="1"/>
  <c r="D21" i="25" s="1"/>
  <c r="D22" i="25" s="1"/>
  <c r="D23" i="25" s="1"/>
  <c r="D24" i="25" s="1"/>
  <c r="D25" i="25" s="1"/>
  <c r="D26" i="25" s="1"/>
  <c r="D27" i="25" s="1"/>
  <c r="D28" i="25" s="1"/>
  <c r="D29" i="25" s="1"/>
  <c r="D30" i="25" s="1"/>
  <c r="D31" i="25" s="1"/>
  <c r="D32" i="25" s="1"/>
  <c r="D33" i="25" s="1"/>
  <c r="D34" i="25" s="1"/>
  <c r="D35" i="25" s="1"/>
  <c r="D36" i="25" s="1"/>
  <c r="D37" i="25" s="1"/>
  <c r="D38" i="25" s="1"/>
  <c r="E64" i="29" l="1"/>
  <c r="F63" i="29"/>
  <c r="I55" i="29"/>
  <c r="L55" i="29"/>
  <c r="M55" i="29" s="1"/>
  <c r="O55" i="29" s="1"/>
  <c r="P55" i="29" s="1"/>
  <c r="D6" i="21"/>
  <c r="I56" i="29" l="1"/>
  <c r="L56" i="29"/>
  <c r="M56" i="29" s="1"/>
  <c r="O56" i="29" s="1"/>
  <c r="P56" i="29" s="1"/>
  <c r="E65" i="29"/>
  <c r="F64" i="29"/>
  <c r="D7" i="21"/>
  <c r="D8" i="21" s="1"/>
  <c r="E9" i="21" s="1"/>
  <c r="E66" i="29" l="1"/>
  <c r="F65" i="29"/>
  <c r="I57" i="29"/>
  <c r="L57" i="29"/>
  <c r="M57" i="29" s="1"/>
  <c r="O57" i="29" s="1"/>
  <c r="P57" i="29" s="1"/>
  <c r="F9" i="21"/>
  <c r="K9" i="21"/>
  <c r="I9" i="21" s="1"/>
  <c r="I58" i="29" l="1"/>
  <c r="L58" i="29"/>
  <c r="M58" i="29" s="1"/>
  <c r="O58" i="29" s="1"/>
  <c r="P58" i="29" s="1"/>
  <c r="E67" i="29"/>
  <c r="F66" i="29"/>
  <c r="J12" i="21"/>
  <c r="J16" i="21"/>
  <c r="J20" i="21"/>
  <c r="J24" i="21"/>
  <c r="J28" i="21"/>
  <c r="J32" i="21"/>
  <c r="J36" i="21"/>
  <c r="J15" i="21"/>
  <c r="J27" i="21"/>
  <c r="J10" i="21"/>
  <c r="J13" i="21"/>
  <c r="J17" i="21"/>
  <c r="J21" i="21"/>
  <c r="J25" i="21"/>
  <c r="J29" i="21"/>
  <c r="J33" i="21"/>
  <c r="J37" i="21"/>
  <c r="J18" i="21"/>
  <c r="J22" i="21"/>
  <c r="J30" i="21"/>
  <c r="J34" i="21"/>
  <c r="J19" i="21"/>
  <c r="J23" i="21"/>
  <c r="J35" i="21"/>
  <c r="J14" i="21"/>
  <c r="J26" i="21"/>
  <c r="J38" i="21"/>
  <c r="J11" i="21"/>
  <c r="J31" i="21"/>
  <c r="L10" i="21"/>
  <c r="O9" i="21"/>
  <c r="E68" i="29" l="1"/>
  <c r="F67" i="29"/>
  <c r="I59" i="29"/>
  <c r="L59" i="29"/>
  <c r="M59" i="29" s="1"/>
  <c r="O59" i="29" s="1"/>
  <c r="P59" i="29" s="1"/>
  <c r="I10" i="21"/>
  <c r="M10" i="21"/>
  <c r="K9" i="22"/>
  <c r="I9" i="22" s="1"/>
  <c r="P9" i="21"/>
  <c r="D11" i="21"/>
  <c r="D12" i="21" s="1"/>
  <c r="D13" i="21" s="1"/>
  <c r="D14" i="21" s="1"/>
  <c r="D15" i="21" s="1"/>
  <c r="D16" i="21" s="1"/>
  <c r="D17" i="21" s="1"/>
  <c r="D18" i="21" s="1"/>
  <c r="D19" i="21" s="1"/>
  <c r="D20" i="21" s="1"/>
  <c r="D21" i="21" s="1"/>
  <c r="D22" i="21" s="1"/>
  <c r="D23" i="21" s="1"/>
  <c r="D24" i="21" s="1"/>
  <c r="D25" i="21" s="1"/>
  <c r="D26" i="21" s="1"/>
  <c r="D27" i="21" s="1"/>
  <c r="D28" i="21" s="1"/>
  <c r="D29" i="21" s="1"/>
  <c r="D30" i="21" s="1"/>
  <c r="D31" i="21" s="1"/>
  <c r="D32" i="21" s="1"/>
  <c r="D33" i="21" s="1"/>
  <c r="D34" i="21" s="1"/>
  <c r="D35" i="21" s="1"/>
  <c r="D36" i="21" s="1"/>
  <c r="D37" i="21" s="1"/>
  <c r="D38" i="21" s="1"/>
  <c r="I60" i="29" l="1"/>
  <c r="L60" i="29"/>
  <c r="M60" i="29" s="1"/>
  <c r="O60" i="29" s="1"/>
  <c r="P60" i="29" s="1"/>
  <c r="E69" i="29"/>
  <c r="F68" i="29"/>
  <c r="J38" i="22"/>
  <c r="J36" i="22"/>
  <c r="J34" i="22"/>
  <c r="J32" i="22"/>
  <c r="J30" i="22"/>
  <c r="J28" i="22"/>
  <c r="J26" i="22"/>
  <c r="J24" i="22"/>
  <c r="J22" i="22"/>
  <c r="J20" i="22"/>
  <c r="J18" i="22"/>
  <c r="J16" i="22"/>
  <c r="J14" i="22"/>
  <c r="J12" i="22"/>
  <c r="J10" i="22"/>
  <c r="I10" i="22" s="1"/>
  <c r="J37" i="22"/>
  <c r="J35" i="22"/>
  <c r="J33" i="22"/>
  <c r="J31" i="22"/>
  <c r="J29" i="22"/>
  <c r="J27" i="22"/>
  <c r="J25" i="22"/>
  <c r="J23" i="22"/>
  <c r="J21" i="22"/>
  <c r="J19" i="22"/>
  <c r="J17" i="22"/>
  <c r="J15" i="22"/>
  <c r="J13" i="22"/>
  <c r="J11" i="22"/>
  <c r="O10" i="21"/>
  <c r="L10" i="22"/>
  <c r="L11" i="21"/>
  <c r="I11" i="21"/>
  <c r="O9" i="22"/>
  <c r="E70" i="29" l="1"/>
  <c r="F69" i="29"/>
  <c r="I61" i="29"/>
  <c r="L61" i="29"/>
  <c r="M61" i="29" s="1"/>
  <c r="O61" i="29" s="1"/>
  <c r="P61" i="29" s="1"/>
  <c r="M11" i="21"/>
  <c r="P10" i="21"/>
  <c r="L11" i="22"/>
  <c r="M11" i="22" s="1"/>
  <c r="O11" i="22" s="1"/>
  <c r="P11" i="22" s="1"/>
  <c r="I11" i="22"/>
  <c r="L12" i="21"/>
  <c r="M12" i="21" s="1"/>
  <c r="O12" i="21" s="1"/>
  <c r="P12" i="21" s="1"/>
  <c r="I12" i="21"/>
  <c r="M10" i="22"/>
  <c r="J39" i="22"/>
  <c r="C14" i="22" s="1"/>
  <c r="G14" i="15" s="1"/>
  <c r="P9" i="22"/>
  <c r="I62" i="29" l="1"/>
  <c r="L62" i="29"/>
  <c r="M62" i="29" s="1"/>
  <c r="O62" i="29" s="1"/>
  <c r="P62" i="29" s="1"/>
  <c r="E71" i="29"/>
  <c r="F70" i="29"/>
  <c r="O11" i="21"/>
  <c r="L13" i="21"/>
  <c r="M13" i="21" s="1"/>
  <c r="O13" i="21" s="1"/>
  <c r="P13" i="21" s="1"/>
  <c r="I13" i="21"/>
  <c r="O10" i="22"/>
  <c r="L12" i="22"/>
  <c r="M12" i="22" s="1"/>
  <c r="O12" i="22" s="1"/>
  <c r="P12" i="22" s="1"/>
  <c r="I12" i="22"/>
  <c r="E72" i="29" l="1"/>
  <c r="F71" i="29"/>
  <c r="I63" i="29"/>
  <c r="L63" i="29"/>
  <c r="M63" i="29" s="1"/>
  <c r="O63" i="29" s="1"/>
  <c r="P63" i="29" s="1"/>
  <c r="P11" i="21"/>
  <c r="P10" i="22"/>
  <c r="L13" i="22"/>
  <c r="M13" i="22" s="1"/>
  <c r="I13" i="22"/>
  <c r="I14" i="21"/>
  <c r="L14" i="21"/>
  <c r="M14" i="21" s="1"/>
  <c r="I64" i="29" l="1"/>
  <c r="L64" i="29"/>
  <c r="M64" i="29" s="1"/>
  <c r="O64" i="29" s="1"/>
  <c r="P64" i="29" s="1"/>
  <c r="E73" i="29"/>
  <c r="F72" i="29"/>
  <c r="O13" i="22"/>
  <c r="P13" i="22" s="1"/>
  <c r="O14" i="21"/>
  <c r="L15" i="21"/>
  <c r="M15" i="21" s="1"/>
  <c r="O15" i="21" s="1"/>
  <c r="P15" i="21" s="1"/>
  <c r="I15" i="21"/>
  <c r="L14" i="22"/>
  <c r="M14" i="22" s="1"/>
  <c r="O14" i="22" s="1"/>
  <c r="P14" i="22" s="1"/>
  <c r="I14" i="22"/>
  <c r="E74" i="29" l="1"/>
  <c r="F73" i="29"/>
  <c r="I65" i="29"/>
  <c r="L65" i="29"/>
  <c r="M65" i="29" s="1"/>
  <c r="O65" i="29" s="1"/>
  <c r="P65" i="29" s="1"/>
  <c r="P14" i="21"/>
  <c r="L15" i="22"/>
  <c r="M15" i="22" s="1"/>
  <c r="O15" i="22" s="1"/>
  <c r="P15" i="22" s="1"/>
  <c r="I15" i="22"/>
  <c r="I16" i="21"/>
  <c r="L16" i="21"/>
  <c r="M16" i="21" s="1"/>
  <c r="O16" i="21" s="1"/>
  <c r="P16" i="21" s="1"/>
  <c r="I66" i="29" l="1"/>
  <c r="L66" i="29"/>
  <c r="M66" i="29" s="1"/>
  <c r="O66" i="29" s="1"/>
  <c r="P66" i="29" s="1"/>
  <c r="E75" i="29"/>
  <c r="F74" i="29"/>
  <c r="I17" i="21"/>
  <c r="L17" i="21"/>
  <c r="M17" i="21" s="1"/>
  <c r="O17" i="21" s="1"/>
  <c r="P17" i="21" s="1"/>
  <c r="L16" i="22"/>
  <c r="M16" i="22" s="1"/>
  <c r="O16" i="22" s="1"/>
  <c r="P16" i="22" s="1"/>
  <c r="I16" i="22"/>
  <c r="E76" i="29" l="1"/>
  <c r="F75" i="29"/>
  <c r="I67" i="29"/>
  <c r="L67" i="29"/>
  <c r="M67" i="29" s="1"/>
  <c r="O67" i="29" s="1"/>
  <c r="P67" i="29" s="1"/>
  <c r="L17" i="22"/>
  <c r="M17" i="22" s="1"/>
  <c r="O17" i="22" s="1"/>
  <c r="P17" i="22" s="1"/>
  <c r="I17" i="22"/>
  <c r="I18" i="21"/>
  <c r="L18" i="21"/>
  <c r="M18" i="21" s="1"/>
  <c r="O18" i="21" s="1"/>
  <c r="P18" i="21" s="1"/>
  <c r="I68" i="29" l="1"/>
  <c r="L68" i="29"/>
  <c r="M68" i="29" s="1"/>
  <c r="O68" i="29" s="1"/>
  <c r="P68" i="29" s="1"/>
  <c r="E77" i="29"/>
  <c r="F76" i="29"/>
  <c r="I19" i="21"/>
  <c r="L19" i="21"/>
  <c r="M19" i="21" s="1"/>
  <c r="O19" i="21" s="1"/>
  <c r="P19" i="21" s="1"/>
  <c r="L18" i="22"/>
  <c r="M18" i="22" s="1"/>
  <c r="O18" i="22" s="1"/>
  <c r="P18" i="22" s="1"/>
  <c r="I18" i="22"/>
  <c r="E78" i="29" l="1"/>
  <c r="F77" i="29"/>
  <c r="I69" i="29"/>
  <c r="L69" i="29"/>
  <c r="M69" i="29" s="1"/>
  <c r="O69" i="29" s="1"/>
  <c r="P69" i="29" s="1"/>
  <c r="L20" i="21"/>
  <c r="M20" i="21" s="1"/>
  <c r="O20" i="21" s="1"/>
  <c r="P20" i="21" s="1"/>
  <c r="I20" i="21"/>
  <c r="L19" i="22"/>
  <c r="M19" i="22" s="1"/>
  <c r="O19" i="22" s="1"/>
  <c r="P19" i="22" s="1"/>
  <c r="I19" i="22"/>
  <c r="I70" i="29" l="1"/>
  <c r="L70" i="29"/>
  <c r="M70" i="29" s="1"/>
  <c r="O70" i="29" s="1"/>
  <c r="P70" i="29" s="1"/>
  <c r="E79" i="29"/>
  <c r="F78" i="29"/>
  <c r="L20" i="22"/>
  <c r="M20" i="22" s="1"/>
  <c r="O20" i="22" s="1"/>
  <c r="P20" i="22" s="1"/>
  <c r="I20" i="22"/>
  <c r="I21" i="21"/>
  <c r="L21" i="21"/>
  <c r="M21" i="21" s="1"/>
  <c r="O21" i="21" s="1"/>
  <c r="P21" i="21" s="1"/>
  <c r="E80" i="29" l="1"/>
  <c r="F79" i="29"/>
  <c r="I71" i="29"/>
  <c r="L71" i="29"/>
  <c r="M71" i="29" s="1"/>
  <c r="O71" i="29" s="1"/>
  <c r="P71" i="29" s="1"/>
  <c r="L22" i="21"/>
  <c r="M22" i="21" s="1"/>
  <c r="O22" i="21" s="1"/>
  <c r="P22" i="21" s="1"/>
  <c r="I22" i="21"/>
  <c r="L21" i="22"/>
  <c r="M21" i="22" s="1"/>
  <c r="O21" i="22" s="1"/>
  <c r="P21" i="22" s="1"/>
  <c r="I21" i="22"/>
  <c r="I72" i="29" l="1"/>
  <c r="L72" i="29"/>
  <c r="M72" i="29" s="1"/>
  <c r="O72" i="29" s="1"/>
  <c r="P72" i="29" s="1"/>
  <c r="E81" i="29"/>
  <c r="F80" i="29"/>
  <c r="L22" i="22"/>
  <c r="M22" i="22" s="1"/>
  <c r="O22" i="22" s="1"/>
  <c r="P22" i="22" s="1"/>
  <c r="I22" i="22"/>
  <c r="L23" i="21"/>
  <c r="M23" i="21" s="1"/>
  <c r="O23" i="21" s="1"/>
  <c r="P23" i="21" s="1"/>
  <c r="I23" i="21"/>
  <c r="E82" i="29" l="1"/>
  <c r="F81" i="29"/>
  <c r="I73" i="29"/>
  <c r="L73" i="29"/>
  <c r="M73" i="29" s="1"/>
  <c r="O73" i="29" s="1"/>
  <c r="P73" i="29" s="1"/>
  <c r="L24" i="21"/>
  <c r="M24" i="21" s="1"/>
  <c r="O24" i="21" s="1"/>
  <c r="P24" i="21" s="1"/>
  <c r="I24" i="21"/>
  <c r="L23" i="22"/>
  <c r="M23" i="22" s="1"/>
  <c r="O23" i="22" s="1"/>
  <c r="P23" i="22" s="1"/>
  <c r="I23" i="22"/>
  <c r="I74" i="29" l="1"/>
  <c r="L74" i="29"/>
  <c r="M74" i="29" s="1"/>
  <c r="O74" i="29" s="1"/>
  <c r="P74" i="29" s="1"/>
  <c r="E83" i="29"/>
  <c r="F82" i="29"/>
  <c r="L24" i="22"/>
  <c r="M24" i="22" s="1"/>
  <c r="O24" i="22" s="1"/>
  <c r="P24" i="22" s="1"/>
  <c r="I24" i="22"/>
  <c r="L25" i="21"/>
  <c r="M25" i="21" s="1"/>
  <c r="O25" i="21" s="1"/>
  <c r="P25" i="21" s="1"/>
  <c r="I25" i="21"/>
  <c r="E84" i="29" l="1"/>
  <c r="F83" i="29"/>
  <c r="I75" i="29"/>
  <c r="L75" i="29"/>
  <c r="M75" i="29" s="1"/>
  <c r="O75" i="29" s="1"/>
  <c r="P75" i="29" s="1"/>
  <c r="L26" i="21"/>
  <c r="M26" i="21" s="1"/>
  <c r="O26" i="21" s="1"/>
  <c r="P26" i="21" s="1"/>
  <c r="I26" i="21"/>
  <c r="L25" i="22"/>
  <c r="M25" i="22" s="1"/>
  <c r="O25" i="22" s="1"/>
  <c r="P25" i="22" s="1"/>
  <c r="I25" i="22"/>
  <c r="I76" i="29" l="1"/>
  <c r="L76" i="29"/>
  <c r="M76" i="29" s="1"/>
  <c r="O76" i="29" s="1"/>
  <c r="P76" i="29" s="1"/>
  <c r="E85" i="29"/>
  <c r="F84" i="29"/>
  <c r="L26" i="22"/>
  <c r="M26" i="22" s="1"/>
  <c r="O26" i="22" s="1"/>
  <c r="P26" i="22" s="1"/>
  <c r="I26" i="22"/>
  <c r="L27" i="21"/>
  <c r="M27" i="21" s="1"/>
  <c r="O27" i="21" s="1"/>
  <c r="P27" i="21" s="1"/>
  <c r="I27" i="21"/>
  <c r="E86" i="29" l="1"/>
  <c r="F85" i="29"/>
  <c r="I77" i="29"/>
  <c r="L77" i="29"/>
  <c r="M77" i="29" s="1"/>
  <c r="O77" i="29" s="1"/>
  <c r="P77" i="29" s="1"/>
  <c r="L28" i="21"/>
  <c r="M28" i="21" s="1"/>
  <c r="O28" i="21" s="1"/>
  <c r="P28" i="21" s="1"/>
  <c r="I28" i="21"/>
  <c r="L27" i="22"/>
  <c r="M27" i="22" s="1"/>
  <c r="O27" i="22" s="1"/>
  <c r="P27" i="22" s="1"/>
  <c r="I27" i="22"/>
  <c r="I78" i="29" l="1"/>
  <c r="L78" i="29"/>
  <c r="M78" i="29" s="1"/>
  <c r="O78" i="29" s="1"/>
  <c r="P78" i="29" s="1"/>
  <c r="E87" i="29"/>
  <c r="F86" i="29"/>
  <c r="L28" i="22"/>
  <c r="M28" i="22" s="1"/>
  <c r="O28" i="22" s="1"/>
  <c r="P28" i="22" s="1"/>
  <c r="I28" i="22"/>
  <c r="I29" i="21"/>
  <c r="L29" i="21"/>
  <c r="M29" i="21" s="1"/>
  <c r="O29" i="21" s="1"/>
  <c r="P29" i="21" s="1"/>
  <c r="E88" i="29" l="1"/>
  <c r="F87" i="29"/>
  <c r="I79" i="29"/>
  <c r="L79" i="29"/>
  <c r="M79" i="29" s="1"/>
  <c r="O79" i="29" s="1"/>
  <c r="P79" i="29" s="1"/>
  <c r="L30" i="21"/>
  <c r="M30" i="21" s="1"/>
  <c r="O30" i="21" s="1"/>
  <c r="P30" i="21" s="1"/>
  <c r="I30" i="21"/>
  <c r="L29" i="22"/>
  <c r="M29" i="22" s="1"/>
  <c r="O29" i="22" s="1"/>
  <c r="P29" i="22" s="1"/>
  <c r="I29" i="22"/>
  <c r="I80" i="29" l="1"/>
  <c r="L80" i="29"/>
  <c r="M80" i="29" s="1"/>
  <c r="O80" i="29" s="1"/>
  <c r="P80" i="29" s="1"/>
  <c r="E89" i="29"/>
  <c r="F88" i="29"/>
  <c r="L30" i="22"/>
  <c r="M30" i="22" s="1"/>
  <c r="O30" i="22" s="1"/>
  <c r="P30" i="22" s="1"/>
  <c r="I30" i="22"/>
  <c r="I31" i="21"/>
  <c r="L31" i="21"/>
  <c r="M31" i="21" s="1"/>
  <c r="O31" i="21" s="1"/>
  <c r="P31" i="21" s="1"/>
  <c r="E90" i="29" l="1"/>
  <c r="F89" i="29"/>
  <c r="I81" i="29"/>
  <c r="L81" i="29"/>
  <c r="M81" i="29" s="1"/>
  <c r="O81" i="29" s="1"/>
  <c r="P81" i="29" s="1"/>
  <c r="L32" i="21"/>
  <c r="M32" i="21" s="1"/>
  <c r="O32" i="21" s="1"/>
  <c r="P32" i="21" s="1"/>
  <c r="I32" i="21"/>
  <c r="L31" i="22"/>
  <c r="M31" i="22" s="1"/>
  <c r="O31" i="22" s="1"/>
  <c r="P31" i="22" s="1"/>
  <c r="I31" i="22"/>
  <c r="I82" i="29" l="1"/>
  <c r="L82" i="29"/>
  <c r="M82" i="29" s="1"/>
  <c r="O82" i="29" s="1"/>
  <c r="P82" i="29" s="1"/>
  <c r="E91" i="29"/>
  <c r="F90" i="29"/>
  <c r="L32" i="22"/>
  <c r="M32" i="22" s="1"/>
  <c r="O32" i="22" s="1"/>
  <c r="P32" i="22" s="1"/>
  <c r="I32" i="22"/>
  <c r="I33" i="21"/>
  <c r="L33" i="21"/>
  <c r="M33" i="21" s="1"/>
  <c r="O33" i="21" s="1"/>
  <c r="P33" i="21" s="1"/>
  <c r="E92" i="29" l="1"/>
  <c r="F91" i="29"/>
  <c r="I83" i="29"/>
  <c r="L83" i="29"/>
  <c r="M83" i="29" s="1"/>
  <c r="O83" i="29" s="1"/>
  <c r="P83" i="29" s="1"/>
  <c r="L34" i="21"/>
  <c r="M34" i="21" s="1"/>
  <c r="O34" i="21" s="1"/>
  <c r="P34" i="21" s="1"/>
  <c r="I34" i="21"/>
  <c r="L33" i="22"/>
  <c r="M33" i="22" s="1"/>
  <c r="O33" i="22" s="1"/>
  <c r="P33" i="22" s="1"/>
  <c r="I33" i="22"/>
  <c r="I84" i="29" l="1"/>
  <c r="L84" i="29"/>
  <c r="M84" i="29" s="1"/>
  <c r="O84" i="29" s="1"/>
  <c r="P84" i="29" s="1"/>
  <c r="E93" i="29"/>
  <c r="F92" i="29"/>
  <c r="L34" i="22"/>
  <c r="M34" i="22" s="1"/>
  <c r="O34" i="22" s="1"/>
  <c r="P34" i="22" s="1"/>
  <c r="I34" i="22"/>
  <c r="I35" i="21"/>
  <c r="L35" i="21"/>
  <c r="M35" i="21" s="1"/>
  <c r="O35" i="21" s="1"/>
  <c r="P35" i="21" s="1"/>
  <c r="E94" i="29" l="1"/>
  <c r="F93" i="29"/>
  <c r="I85" i="29"/>
  <c r="L85" i="29"/>
  <c r="M85" i="29" s="1"/>
  <c r="O85" i="29" s="1"/>
  <c r="P85" i="29" s="1"/>
  <c r="L36" i="21"/>
  <c r="M36" i="21" s="1"/>
  <c r="O36" i="21" s="1"/>
  <c r="P36" i="21" s="1"/>
  <c r="I36" i="21"/>
  <c r="L35" i="22"/>
  <c r="M35" i="22" s="1"/>
  <c r="O35" i="22" s="1"/>
  <c r="P35" i="22" s="1"/>
  <c r="I35" i="22"/>
  <c r="I86" i="29" l="1"/>
  <c r="L86" i="29"/>
  <c r="M86" i="29" s="1"/>
  <c r="O86" i="29" s="1"/>
  <c r="P86" i="29" s="1"/>
  <c r="E95" i="29"/>
  <c r="F94" i="29"/>
  <c r="L36" i="22"/>
  <c r="M36" i="22" s="1"/>
  <c r="O36" i="22" s="1"/>
  <c r="P36" i="22" s="1"/>
  <c r="I36" i="22"/>
  <c r="I37" i="21"/>
  <c r="L37" i="21"/>
  <c r="M37" i="21" s="1"/>
  <c r="O37" i="21" s="1"/>
  <c r="P37" i="21" s="1"/>
  <c r="E96" i="29" l="1"/>
  <c r="F95" i="29"/>
  <c r="I87" i="29"/>
  <c r="L87" i="29"/>
  <c r="M87" i="29" s="1"/>
  <c r="O87" i="29" s="1"/>
  <c r="P87" i="29" s="1"/>
  <c r="L38" i="21"/>
  <c r="I38" i="21"/>
  <c r="L37" i="22"/>
  <c r="M37" i="22" s="1"/>
  <c r="O37" i="22" s="1"/>
  <c r="P37" i="22" s="1"/>
  <c r="I37" i="22"/>
  <c r="I88" i="29" l="1"/>
  <c r="L88" i="29"/>
  <c r="M88" i="29" s="1"/>
  <c r="O88" i="29" s="1"/>
  <c r="P88" i="29" s="1"/>
  <c r="E97" i="29"/>
  <c r="F96" i="29"/>
  <c r="M38" i="21"/>
  <c r="L39" i="21"/>
  <c r="L38" i="22"/>
  <c r="M38" i="22" s="1"/>
  <c r="C11" i="22" s="1"/>
  <c r="I38" i="22"/>
  <c r="E98" i="29" l="1"/>
  <c r="F97" i="29"/>
  <c r="I89" i="29"/>
  <c r="L89" i="29"/>
  <c r="M89" i="29" s="1"/>
  <c r="O89" i="29" s="1"/>
  <c r="P89" i="29" s="1"/>
  <c r="O38" i="22"/>
  <c r="O4" i="22" s="1"/>
  <c r="O38" i="21"/>
  <c r="C10" i="21"/>
  <c r="M39" i="21"/>
  <c r="C7" i="21" s="1"/>
  <c r="F98" i="29" l="1"/>
  <c r="C14" i="29" s="1"/>
  <c r="J13" i="15" s="1"/>
  <c r="C5" i="29"/>
  <c r="J7" i="15" s="1"/>
  <c r="I90" i="29"/>
  <c r="L90" i="29"/>
  <c r="M90" i="29" s="1"/>
  <c r="O90" i="29" s="1"/>
  <c r="P90" i="29" s="1"/>
  <c r="C10" i="22"/>
  <c r="G20" i="15" s="1"/>
  <c r="G19" i="15"/>
  <c r="B7" i="21"/>
  <c r="P38" i="21"/>
  <c r="O4" i="21"/>
  <c r="C9" i="21"/>
  <c r="P38" i="22"/>
  <c r="C13" i="22" s="1"/>
  <c r="G13" i="15" s="1"/>
  <c r="I91" i="29" l="1"/>
  <c r="L91" i="29"/>
  <c r="M91" i="29" s="1"/>
  <c r="O91" i="29" s="1"/>
  <c r="P91" i="29" s="1"/>
  <c r="C6" i="21"/>
  <c r="I92" i="29" l="1"/>
  <c r="L92" i="29"/>
  <c r="M92" i="29" s="1"/>
  <c r="O92" i="29" s="1"/>
  <c r="P92" i="29" s="1"/>
  <c r="M59" i="26"/>
  <c r="N59" i="26" s="1"/>
  <c r="D58" i="26"/>
  <c r="E58" i="26" s="1"/>
  <c r="I10" i="25"/>
  <c r="M10" i="25"/>
  <c r="I93" i="29" l="1"/>
  <c r="L93" i="29"/>
  <c r="M93" i="29" s="1"/>
  <c r="O93" i="29" s="1"/>
  <c r="P93" i="29" s="1"/>
  <c r="L11" i="25"/>
  <c r="M11" i="25" s="1"/>
  <c r="O11" i="25" s="1"/>
  <c r="P11" i="25" s="1"/>
  <c r="I11" i="25"/>
  <c r="L12" i="25" s="1"/>
  <c r="M12" i="25" s="1"/>
  <c r="O12" i="25" s="1"/>
  <c r="P12" i="25" s="1"/>
  <c r="O10" i="25"/>
  <c r="I12" i="25"/>
  <c r="I94" i="29" l="1"/>
  <c r="L94" i="29"/>
  <c r="M94" i="29" s="1"/>
  <c r="O94" i="29" s="1"/>
  <c r="P94" i="29" s="1"/>
  <c r="L13" i="25"/>
  <c r="I13" i="25"/>
  <c r="P10" i="25"/>
  <c r="I95" i="29" l="1"/>
  <c r="L95" i="29"/>
  <c r="M95" i="29" s="1"/>
  <c r="O95" i="29" s="1"/>
  <c r="P95" i="29" s="1"/>
  <c r="I14" i="25"/>
  <c r="L14" i="25"/>
  <c r="M14" i="25" s="1"/>
  <c r="O14" i="25" s="1"/>
  <c r="P14" i="25" s="1"/>
  <c r="M13" i="25"/>
  <c r="I96" i="29" l="1"/>
  <c r="L96" i="29"/>
  <c r="M96" i="29" s="1"/>
  <c r="O96" i="29" s="1"/>
  <c r="P96" i="29" s="1"/>
  <c r="O13" i="25"/>
  <c r="I15" i="25"/>
  <c r="L15" i="25"/>
  <c r="M15" i="25" s="1"/>
  <c r="O15" i="25" s="1"/>
  <c r="P15" i="25" s="1"/>
  <c r="I97" i="29" l="1"/>
  <c r="L97" i="29"/>
  <c r="M97" i="29" s="1"/>
  <c r="O97" i="29" s="1"/>
  <c r="P97" i="29" s="1"/>
  <c r="I16" i="25"/>
  <c r="L16" i="25"/>
  <c r="M16" i="25" s="1"/>
  <c r="P13" i="25"/>
  <c r="I98" i="29" l="1"/>
  <c r="L98" i="29"/>
  <c r="O16" i="25"/>
  <c r="L17" i="25"/>
  <c r="M17" i="25" s="1"/>
  <c r="I17" i="25"/>
  <c r="M98" i="29" l="1"/>
  <c r="L99" i="29"/>
  <c r="O17" i="25"/>
  <c r="P17" i="25" s="1"/>
  <c r="L18" i="25"/>
  <c r="M18" i="25" s="1"/>
  <c r="O18" i="25" s="1"/>
  <c r="P18" i="25" s="1"/>
  <c r="I18" i="25"/>
  <c r="P16" i="25"/>
  <c r="O98" i="29" l="1"/>
  <c r="C11" i="29"/>
  <c r="I19" i="25"/>
  <c r="L19" i="25"/>
  <c r="M19" i="25" s="1"/>
  <c r="O19" i="25" s="1"/>
  <c r="J19" i="15" l="1"/>
  <c r="C10" i="29"/>
  <c r="J20" i="15" s="1"/>
  <c r="P98" i="29"/>
  <c r="O4" i="29"/>
  <c r="J14" i="15" s="1"/>
  <c r="P19" i="25"/>
  <c r="L20" i="25"/>
  <c r="M20" i="25" s="1"/>
  <c r="O20" i="25" s="1"/>
  <c r="P20" i="25" s="1"/>
  <c r="I20" i="25"/>
  <c r="L21" i="25" l="1"/>
  <c r="M21" i="25" s="1"/>
  <c r="O21" i="25" s="1"/>
  <c r="I21" i="25"/>
  <c r="I22" i="25" l="1"/>
  <c r="L22" i="25"/>
  <c r="M22" i="25" s="1"/>
  <c r="O22" i="25" s="1"/>
  <c r="P22" i="25" s="1"/>
  <c r="P21" i="25"/>
  <c r="L23" i="25" l="1"/>
  <c r="M23" i="25" s="1"/>
  <c r="O23" i="25" s="1"/>
  <c r="P23" i="25" s="1"/>
  <c r="I23" i="25"/>
  <c r="I24" i="25" l="1"/>
  <c r="L24" i="25"/>
  <c r="M24" i="25" s="1"/>
  <c r="O24" i="25" s="1"/>
  <c r="P24" i="25" s="1"/>
  <c r="L25" i="25" l="1"/>
  <c r="M25" i="25" s="1"/>
  <c r="O25" i="25" s="1"/>
  <c r="P25" i="25" s="1"/>
  <c r="I25" i="25"/>
  <c r="L26" i="25" l="1"/>
  <c r="M26" i="25" s="1"/>
  <c r="O26" i="25" s="1"/>
  <c r="P26" i="25" s="1"/>
  <c r="I26" i="25"/>
  <c r="I27" i="25" l="1"/>
  <c r="L27" i="25"/>
  <c r="M27" i="25" s="1"/>
  <c r="O27" i="25" s="1"/>
  <c r="P27" i="25" s="1"/>
  <c r="L28" i="25" l="1"/>
  <c r="M28" i="25" s="1"/>
  <c r="O28" i="25" s="1"/>
  <c r="P28" i="25" s="1"/>
  <c r="I28" i="25"/>
  <c r="L29" i="25" l="1"/>
  <c r="M29" i="25" s="1"/>
  <c r="O29" i="25" s="1"/>
  <c r="P29" i="25" s="1"/>
  <c r="I29" i="25"/>
  <c r="I30" i="25" l="1"/>
  <c r="L30" i="25"/>
  <c r="M30" i="25" s="1"/>
  <c r="O30" i="25" s="1"/>
  <c r="P30" i="25" s="1"/>
  <c r="L31" i="25" l="1"/>
  <c r="M31" i="25" s="1"/>
  <c r="O31" i="25" s="1"/>
  <c r="P31" i="25" s="1"/>
  <c r="I31" i="25"/>
  <c r="I32" i="25" l="1"/>
  <c r="L32" i="25"/>
  <c r="M32" i="25" s="1"/>
  <c r="O32" i="25" s="1"/>
  <c r="P32" i="25" s="1"/>
  <c r="L33" i="25" l="1"/>
  <c r="M33" i="25" s="1"/>
  <c r="O33" i="25" s="1"/>
  <c r="P33" i="25" s="1"/>
  <c r="I33" i="25"/>
  <c r="L34" i="25" l="1"/>
  <c r="M34" i="25" s="1"/>
  <c r="O34" i="25" s="1"/>
  <c r="P34" i="25" s="1"/>
  <c r="I34" i="25"/>
  <c r="I35" i="25" l="1"/>
  <c r="L35" i="25"/>
  <c r="M35" i="25" s="1"/>
  <c r="O35" i="25" s="1"/>
  <c r="P35" i="25" s="1"/>
  <c r="L36" i="25" l="1"/>
  <c r="M36" i="25" s="1"/>
  <c r="O36" i="25" s="1"/>
  <c r="P36" i="25" s="1"/>
  <c r="I36" i="25"/>
  <c r="L37" i="25" l="1"/>
  <c r="M37" i="25" s="1"/>
  <c r="O37" i="25" s="1"/>
  <c r="P37" i="25" s="1"/>
  <c r="I37" i="25"/>
  <c r="I38" i="25" l="1"/>
  <c r="L38" i="25"/>
  <c r="M38" i="25" l="1"/>
  <c r="L39" i="25"/>
  <c r="O38" i="25" l="1"/>
  <c r="M39" i="25"/>
  <c r="D14" i="15" s="1"/>
  <c r="C28" i="24" s="1"/>
  <c r="C11" i="25"/>
  <c r="D19" i="15" l="1"/>
  <c r="C10" i="25"/>
  <c r="D28" i="24"/>
  <c r="H28" i="24"/>
  <c r="I28" i="24" s="1"/>
  <c r="P38" i="25"/>
  <c r="O4" i="25"/>
  <c r="C13" i="25" l="1"/>
  <c r="D13" i="15" s="1"/>
  <c r="D20" i="15" l="1"/>
</calcChain>
</file>

<file path=xl/sharedStrings.xml><?xml version="1.0" encoding="utf-8"?>
<sst xmlns="http://schemas.openxmlformats.org/spreadsheetml/2006/main" count="250" uniqueCount="80">
  <si>
    <t>Intereses</t>
  </si>
  <si>
    <t>Flujo</t>
  </si>
  <si>
    <t>Precio</t>
  </si>
  <si>
    <t>TIR (TEA)</t>
  </si>
  <si>
    <t>VN a licitar</t>
  </si>
  <si>
    <t xml:space="preserve">La presente planilla de cálculo debe ser considerada por el interesado al sólo efecto ilustrativo y ejemplificativo. Los resultados que esta arroje no serán vinculantes y pueden sufrir variaciones ante cambios en cualquiera de los supuestos de elaboración. A los efectos de la suscripción de las Obligaciones Negociables, el interesado deberá basarse en sus propios cálculos y evaluación de la información publicada en el Suplemento de Prospecto y en particular las consideraciones de riesgo para la inversión. </t>
  </si>
  <si>
    <t>Tasa</t>
  </si>
  <si>
    <t>Fecha de Emisión</t>
  </si>
  <si>
    <t>Fecha de Vencimiento</t>
  </si>
  <si>
    <t>Vida Promedio (años)</t>
  </si>
  <si>
    <t>Duration (años)</t>
  </si>
  <si>
    <t>Fecha de Liquidación</t>
  </si>
  <si>
    <t>Calificación</t>
  </si>
  <si>
    <t>Cupón de Interés</t>
  </si>
  <si>
    <t>TIR TAE</t>
  </si>
  <si>
    <t>Duration</t>
  </si>
  <si>
    <t>Av. Life</t>
  </si>
  <si>
    <t>Tipo de Cupón</t>
  </si>
  <si>
    <t>Av Life</t>
  </si>
  <si>
    <t>N°</t>
  </si>
  <si>
    <t>Devengado</t>
  </si>
  <si>
    <t>Dias</t>
  </si>
  <si>
    <t>Tasa Fija a licitar</t>
  </si>
  <si>
    <t>Fecha de Suscripción</t>
  </si>
  <si>
    <t xml:space="preserve">Tc Inicial </t>
  </si>
  <si>
    <t>TRAMO LARGO</t>
  </si>
  <si>
    <t>Intereses a Capitalizar</t>
  </si>
  <si>
    <t>Int. Cap</t>
  </si>
  <si>
    <t>Int. Cap VN</t>
  </si>
  <si>
    <t>TIR</t>
  </si>
  <si>
    <t>TNA</t>
  </si>
  <si>
    <t>%</t>
  </si>
  <si>
    <t>Par Value</t>
  </si>
  <si>
    <t>Valor Par</t>
  </si>
  <si>
    <t>Pagos Principal</t>
  </si>
  <si>
    <t>Título</t>
  </si>
  <si>
    <t>Price</t>
  </si>
  <si>
    <t>Int</t>
  </si>
  <si>
    <t>Technical</t>
  </si>
  <si>
    <t xml:space="preserve">Curr. </t>
  </si>
  <si>
    <t>Modified</t>
  </si>
  <si>
    <t>Volumen</t>
  </si>
  <si>
    <t xml:space="preserve">Volumen </t>
  </si>
  <si>
    <t>TC21</t>
  </si>
  <si>
    <t>ARS</t>
  </si>
  <si>
    <t>Value</t>
  </si>
  <si>
    <t>Yield</t>
  </si>
  <si>
    <t>Byma</t>
  </si>
  <si>
    <t>MAE</t>
  </si>
  <si>
    <t>TX21</t>
  </si>
  <si>
    <t>TX22</t>
  </si>
  <si>
    <t>T2X2</t>
  </si>
  <si>
    <t>TX23</t>
  </si>
  <si>
    <t>TX24</t>
  </si>
  <si>
    <t>TX26</t>
  </si>
  <si>
    <t>TX28</t>
  </si>
  <si>
    <t>TC23</t>
  </si>
  <si>
    <t>TC25</t>
  </si>
  <si>
    <t>DICP</t>
  </si>
  <si>
    <t>PARP</t>
  </si>
  <si>
    <t>CUAP</t>
  </si>
  <si>
    <t>Fuente: IAMC</t>
  </si>
  <si>
    <t>YTM</t>
  </si>
  <si>
    <t>MD</t>
  </si>
  <si>
    <t xml:space="preserve">Curva CER Performance </t>
  </si>
  <si>
    <t>GEMSA UVA</t>
  </si>
  <si>
    <t>Bono CER</t>
  </si>
  <si>
    <t>Interpolación contra TC25 y TX24</t>
  </si>
  <si>
    <t>Si elimino el TC25 por iliquidez</t>
  </si>
  <si>
    <t>Cupón a Licitar (2 decimales)</t>
  </si>
  <si>
    <t>Ytm</t>
  </si>
  <si>
    <t>GEMSA</t>
  </si>
  <si>
    <t>TNA (*)</t>
  </si>
  <si>
    <t>(*) Calculo de TNA sobre 12 meses</t>
  </si>
  <si>
    <t>Dólar Linked / Clase XVII</t>
  </si>
  <si>
    <t>UVA / Clase XVIII</t>
  </si>
  <si>
    <t xml:space="preserve">UVA Inicial </t>
  </si>
  <si>
    <t>Dólar Linked / Clase XIX</t>
  </si>
  <si>
    <t>A(arg)  Fix SCR</t>
  </si>
  <si>
    <t>Plazo (meses)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</si>
</sst>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-* #,##0\ _€_-;\-* #,##0\ _€_-;_-* &quot;-&quot;??\ _€_-;_-@_-"/>
    <numFmt numFmtId="167" formatCode="#,##0.00_ ;\-#,##0.00\ "/>
    <numFmt numFmtId="168" formatCode="#,##0_ ;\-#,##0\ "/>
    <numFmt numFmtId="169" formatCode="0.0000"/>
    <numFmt numFmtId="170" formatCode="dd\-mm\-yy;@"/>
    <numFmt numFmtId="171" formatCode="0.0000%"/>
    <numFmt numFmtId="172" formatCode="#,##0.0000"/>
    <numFmt numFmtId="173" formatCode="0.000%"/>
    <numFmt numFmtId="174" formatCode="0.0%"/>
    <numFmt numFmtId="175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sz val="9"/>
      <color theme="3"/>
      <name val="Calibri"/>
      <family val="2"/>
      <scheme val="minor"/>
    </font>
    <font>
      <i/>
      <sz val="9"/>
      <color rgb="FF00206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8"/>
      <color theme="3" tint="-0.499984740745262"/>
      <name val="Times New Roman"/>
      <family val="1"/>
    </font>
    <font>
      <i/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</font>
    <font>
      <i/>
      <sz val="8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8C227"/>
        <bgColor indexed="64"/>
      </patternFill>
    </fill>
    <fill>
      <patternFill patternType="solid">
        <fgColor rgb="FFE1EDA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25B4B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79D2E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0" borderId="0"/>
    <xf numFmtId="0" fontId="4" fillId="0" borderId="0" applyNumberFormat="0" applyFill="0" applyBorder="0" applyAlignment="0" applyProtection="0"/>
  </cellStyleXfs>
  <cellXfs count="278">
    <xf numFmtId="0" fontId="0" fillId="0" borderId="0" xfId="0"/>
    <xf numFmtId="10" fontId="10" fillId="2" borderId="0" xfId="2" applyNumberFormat="1" applyFont="1" applyFill="1" applyBorder="1" applyAlignment="1">
      <alignment horizontal="left" vertical="center"/>
    </xf>
    <xf numFmtId="2" fontId="15" fillId="2" borderId="0" xfId="7" applyNumberFormat="1" applyFont="1" applyFill="1" applyBorder="1" applyAlignment="1">
      <alignment horizontal="left" vertical="center"/>
    </xf>
    <xf numFmtId="2" fontId="10" fillId="2" borderId="0" xfId="7" applyNumberFormat="1" applyFont="1" applyFill="1" applyBorder="1" applyAlignment="1">
      <alignment horizontal="left" vertical="center"/>
    </xf>
    <xf numFmtId="0" fontId="10" fillId="2" borderId="0" xfId="9" applyFont="1" applyFill="1" applyBorder="1" applyAlignment="1">
      <alignment horizontal="left" vertical="center"/>
    </xf>
    <xf numFmtId="15" fontId="10" fillId="2" borderId="0" xfId="9" applyNumberFormat="1" applyFont="1" applyFill="1" applyBorder="1" applyAlignment="1">
      <alignment horizontal="left" vertical="center"/>
    </xf>
    <xf numFmtId="4" fontId="10" fillId="2" borderId="0" xfId="9" applyNumberFormat="1" applyFont="1" applyFill="1" applyBorder="1" applyAlignment="1">
      <alignment horizontal="left" vertical="center"/>
    </xf>
    <xf numFmtId="4" fontId="15" fillId="2" borderId="0" xfId="9" applyNumberFormat="1" applyFont="1" applyFill="1" applyBorder="1" applyAlignment="1">
      <alignment horizontal="left" vertical="center"/>
    </xf>
    <xf numFmtId="172" fontId="13" fillId="2" borderId="0" xfId="9" applyNumberFormat="1" applyFont="1" applyFill="1" applyBorder="1" applyAlignment="1">
      <alignment horizontal="left" vertical="center"/>
    </xf>
    <xf numFmtId="1" fontId="10" fillId="2" borderId="0" xfId="1" applyNumberFormat="1" applyFont="1" applyFill="1" applyBorder="1" applyAlignment="1">
      <alignment horizontal="left" vertical="center"/>
    </xf>
    <xf numFmtId="166" fontId="3" fillId="2" borderId="0" xfId="0" applyNumberFormat="1" applyFont="1" applyFill="1" applyAlignment="1" applyProtection="1">
      <alignment horizontal="center" vertical="center"/>
      <protection hidden="1"/>
    </xf>
    <xf numFmtId="0" fontId="15" fillId="2" borderId="0" xfId="7" applyFont="1" applyFill="1" applyBorder="1" applyAlignment="1">
      <alignment horizontal="left" vertical="center"/>
    </xf>
    <xf numFmtId="15" fontId="14" fillId="2" borderId="0" xfId="9" applyNumberFormat="1" applyFont="1" applyFill="1" applyBorder="1" applyAlignment="1">
      <alignment horizontal="left" vertical="center"/>
    </xf>
    <xf numFmtId="0" fontId="15" fillId="2" borderId="3" xfId="9" applyFont="1" applyFill="1" applyBorder="1" applyAlignment="1">
      <alignment horizontal="left" vertical="center"/>
    </xf>
    <xf numFmtId="0" fontId="15" fillId="2" borderId="1" xfId="10" applyFont="1" applyFill="1" applyBorder="1" applyAlignment="1">
      <alignment horizontal="left" vertical="center" wrapText="1"/>
    </xf>
    <xf numFmtId="172" fontId="10" fillId="2" borderId="2" xfId="9" applyNumberFormat="1" applyFont="1" applyFill="1" applyBorder="1" applyAlignment="1">
      <alignment horizontal="left" vertical="center"/>
    </xf>
    <xf numFmtId="4" fontId="14" fillId="2" borderId="0" xfId="9" applyNumberFormat="1" applyFont="1" applyFill="1" applyBorder="1" applyAlignment="1">
      <alignment horizontal="left" vertical="center"/>
    </xf>
    <xf numFmtId="168" fontId="10" fillId="2" borderId="2" xfId="1" applyNumberFormat="1" applyFont="1" applyFill="1" applyBorder="1" applyAlignment="1">
      <alignment horizontal="left" vertical="center"/>
    </xf>
    <xf numFmtId="168" fontId="10" fillId="2" borderId="5" xfId="1" applyNumberFormat="1" applyFont="1" applyFill="1" applyBorder="1" applyAlignment="1">
      <alignment horizontal="left" vertical="center"/>
    </xf>
    <xf numFmtId="15" fontId="10" fillId="2" borderId="6" xfId="9" applyNumberFormat="1" applyFont="1" applyFill="1" applyBorder="1" applyAlignment="1">
      <alignment horizontal="left" vertical="center"/>
    </xf>
    <xf numFmtId="1" fontId="10" fillId="2" borderId="6" xfId="1" applyNumberFormat="1" applyFont="1" applyFill="1" applyBorder="1" applyAlignment="1">
      <alignment horizontal="left" vertical="center"/>
    </xf>
    <xf numFmtId="10" fontId="10" fillId="2" borderId="6" xfId="2" applyNumberFormat="1" applyFont="1" applyFill="1" applyBorder="1" applyAlignment="1">
      <alignment horizontal="left" vertical="center"/>
    </xf>
    <xf numFmtId="4" fontId="10" fillId="2" borderId="6" xfId="9" applyNumberFormat="1" applyFont="1" applyFill="1" applyBorder="1" applyAlignment="1">
      <alignment horizontal="left" vertical="center"/>
    </xf>
    <xf numFmtId="0" fontId="10" fillId="2" borderId="0" xfId="6" applyFont="1" applyFill="1" applyBorder="1" applyAlignment="1">
      <alignment horizontal="center" vertical="center"/>
    </xf>
    <xf numFmtId="0" fontId="15" fillId="2" borderId="1" xfId="6" applyFont="1" applyFill="1" applyBorder="1" applyAlignment="1">
      <alignment horizontal="center" vertical="center" wrapText="1"/>
    </xf>
    <xf numFmtId="2" fontId="15" fillId="2" borderId="0" xfId="7" applyNumberFormat="1" applyFont="1" applyFill="1" applyBorder="1" applyAlignment="1">
      <alignment horizontal="center" vertical="center"/>
    </xf>
    <xf numFmtId="172" fontId="10" fillId="2" borderId="0" xfId="6" applyNumberFormat="1" applyFont="1" applyFill="1" applyBorder="1" applyAlignment="1">
      <alignment horizontal="center" vertical="center"/>
    </xf>
    <xf numFmtId="2" fontId="10" fillId="2" borderId="0" xfId="7" applyNumberFormat="1" applyFont="1" applyFill="1" applyBorder="1" applyAlignment="1">
      <alignment horizontal="center" vertical="center"/>
    </xf>
    <xf numFmtId="0" fontId="10" fillId="2" borderId="1" xfId="6" applyFont="1" applyFill="1" applyBorder="1" applyAlignment="1">
      <alignment horizontal="center" vertical="center"/>
    </xf>
    <xf numFmtId="2" fontId="10" fillId="2" borderId="1" xfId="7" applyNumberFormat="1" applyFont="1" applyFill="1" applyBorder="1" applyAlignment="1">
      <alignment horizontal="center" vertical="center"/>
    </xf>
    <xf numFmtId="15" fontId="12" fillId="2" borderId="1" xfId="12" applyNumberFormat="1" applyFont="1" applyFill="1" applyBorder="1" applyAlignment="1">
      <alignment horizontal="center" vertical="center"/>
    </xf>
    <xf numFmtId="15" fontId="13" fillId="2" borderId="0" xfId="9" applyNumberFormat="1" applyFont="1" applyFill="1" applyBorder="1" applyAlignment="1">
      <alignment horizontal="center" vertical="center"/>
    </xf>
    <xf numFmtId="0" fontId="10" fillId="2" borderId="0" xfId="8" applyFont="1" applyFill="1" applyBorder="1" applyAlignment="1">
      <alignment vertical="center"/>
    </xf>
    <xf numFmtId="0" fontId="10" fillId="2" borderId="2" xfId="8" applyFont="1" applyFill="1" applyBorder="1" applyAlignment="1">
      <alignment horizontal="left" vertical="center"/>
    </xf>
    <xf numFmtId="0" fontId="10" fillId="2" borderId="0" xfId="8" applyFont="1" applyFill="1" applyBorder="1" applyAlignment="1">
      <alignment horizontal="left" vertical="center"/>
    </xf>
    <xf numFmtId="43" fontId="10" fillId="2" borderId="0" xfId="8" applyNumberFormat="1" applyFont="1" applyFill="1" applyBorder="1" applyAlignment="1">
      <alignment vertical="center"/>
    </xf>
    <xf numFmtId="2" fontId="10" fillId="2" borderId="0" xfId="0" applyNumberFormat="1" applyFont="1" applyFill="1" applyAlignment="1">
      <alignment horizontal="left" vertical="center"/>
    </xf>
    <xf numFmtId="2" fontId="10" fillId="2" borderId="0" xfId="8" applyNumberFormat="1" applyFont="1" applyFill="1" applyBorder="1" applyAlignment="1">
      <alignment horizontal="left" vertical="center"/>
    </xf>
    <xf numFmtId="166" fontId="10" fillId="2" borderId="0" xfId="8" applyNumberFormat="1" applyFont="1" applyFill="1" applyBorder="1" applyAlignment="1">
      <alignment vertical="center"/>
    </xf>
    <xf numFmtId="173" fontId="10" fillId="2" borderId="0" xfId="2" applyNumberFormat="1" applyFont="1" applyFill="1" applyBorder="1" applyAlignment="1">
      <alignment horizontal="left" vertical="center"/>
    </xf>
    <xf numFmtId="4" fontId="10" fillId="2" borderId="0" xfId="8" applyNumberFormat="1" applyFont="1" applyFill="1" applyBorder="1" applyAlignment="1">
      <alignment horizontal="left" vertical="center"/>
    </xf>
    <xf numFmtId="0" fontId="15" fillId="2" borderId="1" xfId="9" applyFont="1" applyFill="1" applyBorder="1" applyAlignment="1">
      <alignment horizontal="left" vertical="center"/>
    </xf>
    <xf numFmtId="4" fontId="10" fillId="2" borderId="1" xfId="9" applyNumberFormat="1" applyFont="1" applyFill="1" applyBorder="1" applyAlignment="1">
      <alignment horizontal="left" vertical="center"/>
    </xf>
    <xf numFmtId="15" fontId="13" fillId="2" borderId="0" xfId="9" applyNumberFormat="1" applyFont="1" applyFill="1" applyBorder="1" applyAlignment="1">
      <alignment horizontal="left" vertical="center"/>
    </xf>
    <xf numFmtId="0" fontId="10" fillId="2" borderId="0" xfId="7" applyFont="1" applyFill="1" applyBorder="1" applyAlignment="1">
      <alignment horizontal="left" vertical="center"/>
    </xf>
    <xf numFmtId="171" fontId="10" fillId="2" borderId="0" xfId="7" applyNumberFormat="1" applyFont="1" applyFill="1" applyBorder="1" applyAlignment="1">
      <alignment horizontal="left" vertical="center"/>
    </xf>
    <xf numFmtId="0" fontId="10" fillId="2" borderId="0" xfId="6" applyFont="1" applyFill="1" applyBorder="1" applyAlignment="1">
      <alignment horizontal="left" vertical="center"/>
    </xf>
    <xf numFmtId="4" fontId="10" fillId="2" borderId="0" xfId="7" applyNumberFormat="1" applyFont="1" applyFill="1" applyBorder="1" applyAlignment="1">
      <alignment horizontal="left" vertical="center"/>
    </xf>
    <xf numFmtId="171" fontId="10" fillId="2" borderId="0" xfId="6" applyNumberFormat="1" applyFont="1" applyFill="1" applyBorder="1" applyAlignment="1">
      <alignment horizontal="left" vertical="center"/>
    </xf>
    <xf numFmtId="0" fontId="10" fillId="2" borderId="1" xfId="6" applyFont="1" applyFill="1" applyBorder="1" applyAlignment="1">
      <alignment horizontal="left" vertical="center"/>
    </xf>
    <xf numFmtId="0" fontId="10" fillId="2" borderId="2" xfId="6" applyFont="1" applyFill="1" applyBorder="1" applyAlignment="1">
      <alignment horizontal="left" vertical="center"/>
    </xf>
    <xf numFmtId="0" fontId="10" fillId="2" borderId="0" xfId="10" applyFont="1" applyFill="1" applyBorder="1" applyAlignment="1">
      <alignment horizontal="left" vertical="center"/>
    </xf>
    <xf numFmtId="169" fontId="12" fillId="2" borderId="1" xfId="12" applyNumberFormat="1" applyFont="1" applyFill="1" applyBorder="1" applyAlignment="1">
      <alignment horizontal="left" vertical="center" wrapText="1"/>
    </xf>
    <xf numFmtId="0" fontId="15" fillId="2" borderId="1" xfId="8" applyFont="1" applyFill="1" applyBorder="1" applyAlignment="1">
      <alignment horizontal="left" vertical="center"/>
    </xf>
    <xf numFmtId="172" fontId="10" fillId="2" borderId="0" xfId="9" applyNumberFormat="1" applyFont="1" applyFill="1" applyBorder="1" applyAlignment="1">
      <alignment horizontal="left" vertical="center"/>
    </xf>
    <xf numFmtId="4" fontId="10" fillId="2" borderId="0" xfId="12" applyNumberFormat="1" applyFont="1" applyFill="1" applyBorder="1" applyAlignment="1">
      <alignment horizontal="left" vertical="center"/>
    </xf>
    <xf numFmtId="2" fontId="10" fillId="2" borderId="0" xfId="13" applyNumberFormat="1" applyFont="1" applyFill="1" applyBorder="1" applyAlignment="1" applyProtection="1">
      <alignment horizontal="left" vertical="center"/>
    </xf>
    <xf numFmtId="171" fontId="10" fillId="2" borderId="0" xfId="9" applyNumberFormat="1" applyFont="1" applyFill="1" applyBorder="1" applyAlignment="1">
      <alignment horizontal="left" vertical="center"/>
    </xf>
    <xf numFmtId="10" fontId="10" fillId="2" borderId="0" xfId="11" applyNumberFormat="1" applyFont="1" applyFill="1" applyBorder="1" applyAlignment="1">
      <alignment horizontal="left" vertical="center"/>
    </xf>
    <xf numFmtId="165" fontId="10" fillId="2" borderId="0" xfId="1" applyFont="1" applyFill="1" applyBorder="1" applyAlignment="1">
      <alignment horizontal="left" vertical="center"/>
    </xf>
    <xf numFmtId="0" fontId="10" fillId="2" borderId="1" xfId="8" applyFont="1" applyFill="1" applyBorder="1" applyAlignment="1">
      <alignment horizontal="left" vertical="center"/>
    </xf>
    <xf numFmtId="0" fontId="10" fillId="2" borderId="6" xfId="8" applyFont="1" applyFill="1" applyBorder="1" applyAlignment="1">
      <alignment horizontal="left" vertical="center"/>
    </xf>
    <xf numFmtId="167" fontId="16" fillId="2" borderId="0" xfId="1" applyNumberFormat="1" applyFont="1" applyFill="1" applyBorder="1" applyAlignment="1" applyProtection="1">
      <alignment horizontal="left" vertical="center"/>
      <protection hidden="1"/>
    </xf>
    <xf numFmtId="0" fontId="5" fillId="2" borderId="0" xfId="0" applyFont="1" applyFill="1"/>
    <xf numFmtId="2" fontId="5" fillId="2" borderId="0" xfId="0" applyNumberFormat="1" applyFont="1" applyFill="1" applyBorder="1"/>
    <xf numFmtId="0" fontId="5" fillId="2" borderId="1" xfId="0" applyFont="1" applyFill="1" applyBorder="1"/>
    <xf numFmtId="0" fontId="5" fillId="2" borderId="0" xfId="0" applyFont="1" applyFill="1" applyBorder="1" applyAlignment="1">
      <alignment horizontal="center"/>
    </xf>
    <xf numFmtId="2" fontId="5" fillId="2" borderId="10" xfId="0" applyNumberFormat="1" applyFont="1" applyFill="1" applyBorder="1" applyAlignment="1">
      <alignment horizontal="center"/>
    </xf>
    <xf numFmtId="2" fontId="5" fillId="2" borderId="11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2" fontId="5" fillId="4" borderId="11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43" fontId="5" fillId="2" borderId="0" xfId="14" applyFont="1" applyFill="1" applyBorder="1"/>
    <xf numFmtId="0" fontId="5" fillId="2" borderId="15" xfId="0" applyFont="1" applyFill="1" applyBorder="1" applyAlignment="1">
      <alignment horizontal="center"/>
    </xf>
    <xf numFmtId="43" fontId="5" fillId="2" borderId="19" xfId="14" applyFont="1" applyFill="1" applyBorder="1"/>
    <xf numFmtId="0" fontId="5" fillId="8" borderId="0" xfId="0" applyFont="1" applyFill="1"/>
    <xf numFmtId="0" fontId="11" fillId="8" borderId="0" xfId="0" applyFont="1" applyFill="1"/>
    <xf numFmtId="0" fontId="5" fillId="2" borderId="9" xfId="0" applyFont="1" applyFill="1" applyBorder="1" applyAlignment="1">
      <alignment horizontal="left"/>
    </xf>
    <xf numFmtId="2" fontId="5" fillId="2" borderId="11" xfId="0" applyNumberFormat="1" applyFont="1" applyFill="1" applyBorder="1" applyAlignment="1">
      <alignment horizontal="left"/>
    </xf>
    <xf numFmtId="43" fontId="5" fillId="2" borderId="0" xfId="14" applyFont="1" applyFill="1" applyBorder="1" applyAlignment="1">
      <alignment horizontal="left"/>
    </xf>
    <xf numFmtId="0" fontId="5" fillId="9" borderId="9" xfId="0" applyFont="1" applyFill="1" applyBorder="1" applyAlignment="1">
      <alignment horizontal="left"/>
    </xf>
    <xf numFmtId="2" fontId="5" fillId="9" borderId="11" xfId="0" applyNumberFormat="1" applyFont="1" applyFill="1" applyBorder="1" applyAlignment="1">
      <alignment horizontal="left"/>
    </xf>
    <xf numFmtId="2" fontId="5" fillId="9" borderId="0" xfId="0" applyNumberFormat="1" applyFont="1" applyFill="1" applyAlignment="1">
      <alignment horizontal="left"/>
    </xf>
    <xf numFmtId="0" fontId="5" fillId="2" borderId="15" xfId="0" applyFont="1" applyFill="1" applyBorder="1" applyAlignment="1">
      <alignment horizontal="left"/>
    </xf>
    <xf numFmtId="2" fontId="5" fillId="2" borderId="16" xfId="0" applyNumberFormat="1" applyFont="1" applyFill="1" applyBorder="1" applyAlignment="1">
      <alignment horizontal="left"/>
    </xf>
    <xf numFmtId="43" fontId="5" fillId="2" borderId="19" xfId="14" applyFont="1" applyFill="1" applyBorder="1" applyAlignment="1">
      <alignment horizontal="left"/>
    </xf>
    <xf numFmtId="0" fontId="6" fillId="8" borderId="0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11" fillId="8" borderId="0" xfId="0" applyFont="1" applyFill="1" applyBorder="1" applyAlignment="1">
      <alignment horizontal="center"/>
    </xf>
    <xf numFmtId="170" fontId="6" fillId="8" borderId="8" xfId="0" applyNumberFormat="1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2" fontId="12" fillId="2" borderId="1" xfId="0" applyNumberFormat="1" applyFont="1" applyFill="1" applyBorder="1" applyAlignment="1">
      <alignment horizontal="left"/>
    </xf>
    <xf numFmtId="3" fontId="23" fillId="4" borderId="20" xfId="14" applyNumberFormat="1" applyFont="1" applyFill="1" applyBorder="1" applyAlignment="1">
      <alignment vertical="center"/>
    </xf>
    <xf numFmtId="43" fontId="5" fillId="4" borderId="0" xfId="14" applyFont="1" applyFill="1" applyBorder="1"/>
    <xf numFmtId="3" fontId="23" fillId="2" borderId="20" xfId="14" applyNumberFormat="1" applyFont="1" applyFill="1" applyBorder="1" applyAlignment="1">
      <alignment vertical="center"/>
    </xf>
    <xf numFmtId="3" fontId="23" fillId="4" borderId="18" xfId="14" applyNumberFormat="1" applyFont="1" applyFill="1" applyBorder="1" applyAlignment="1">
      <alignment vertical="center"/>
    </xf>
    <xf numFmtId="3" fontId="23" fillId="2" borderId="21" xfId="14" applyNumberFormat="1" applyFont="1" applyFill="1" applyBorder="1" applyAlignment="1">
      <alignment vertical="center"/>
    </xf>
    <xf numFmtId="0" fontId="5" fillId="2" borderId="1" xfId="0" applyFont="1" applyFill="1" applyBorder="1"/>
    <xf numFmtId="2" fontId="5" fillId="2" borderId="16" xfId="0" applyNumberFormat="1" applyFont="1" applyFill="1" applyBorder="1" applyAlignment="1">
      <alignment horizontal="center"/>
    </xf>
    <xf numFmtId="3" fontId="23" fillId="2" borderId="17" xfId="14" applyNumberFormat="1" applyFont="1" applyFill="1" applyBorder="1" applyAlignment="1">
      <alignment vertical="center"/>
    </xf>
    <xf numFmtId="3" fontId="23" fillId="2" borderId="18" xfId="14" applyNumberFormat="1" applyFont="1" applyFill="1" applyBorder="1" applyAlignment="1">
      <alignment vertical="center"/>
    </xf>
    <xf numFmtId="0" fontId="5" fillId="2" borderId="0" xfId="0" applyFont="1" applyFill="1" applyBorder="1"/>
    <xf numFmtId="0" fontId="21" fillId="2" borderId="1" xfId="0" applyFont="1" applyFill="1" applyBorder="1"/>
    <xf numFmtId="165" fontId="2" fillId="2" borderId="0" xfId="1" applyFont="1" applyFill="1" applyBorder="1" applyAlignment="1" applyProtection="1">
      <alignment horizontal="center" vertical="center"/>
      <protection hidden="1"/>
    </xf>
    <xf numFmtId="4" fontId="10" fillId="2" borderId="0" xfId="9" applyNumberFormat="1" applyFont="1" applyFill="1" applyAlignment="1">
      <alignment horizontal="left" vertical="center"/>
    </xf>
    <xf numFmtId="0" fontId="6" fillId="8" borderId="12" xfId="0" applyFont="1" applyFill="1" applyBorder="1" applyAlignment="1"/>
    <xf numFmtId="170" fontId="6" fillId="8" borderId="7" xfId="0" applyNumberFormat="1" applyFont="1" applyFill="1" applyBorder="1"/>
    <xf numFmtId="168" fontId="10" fillId="2" borderId="0" xfId="8" applyNumberFormat="1" applyFont="1" applyFill="1" applyBorder="1" applyAlignment="1">
      <alignment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2" fillId="7" borderId="0" xfId="0" applyFont="1" applyFill="1"/>
    <xf numFmtId="4" fontId="12" fillId="7" borderId="0" xfId="0" applyNumberFormat="1" applyFont="1" applyFill="1" applyAlignment="1">
      <alignment horizontal="center"/>
    </xf>
    <xf numFmtId="2" fontId="12" fillId="7" borderId="0" xfId="0" applyNumberFormat="1" applyFont="1" applyFill="1" applyAlignment="1">
      <alignment horizontal="center"/>
    </xf>
    <xf numFmtId="168" fontId="10" fillId="2" borderId="22" xfId="1" applyNumberFormat="1" applyFont="1" applyFill="1" applyBorder="1" applyAlignment="1">
      <alignment horizontal="left" vertical="center"/>
    </xf>
    <xf numFmtId="15" fontId="10" fillId="2" borderId="23" xfId="9" applyNumberFormat="1" applyFont="1" applyFill="1" applyBorder="1" applyAlignment="1">
      <alignment horizontal="left" vertical="center"/>
    </xf>
    <xf numFmtId="1" fontId="10" fillId="2" borderId="23" xfId="1" applyNumberFormat="1" applyFont="1" applyFill="1" applyBorder="1" applyAlignment="1">
      <alignment horizontal="left" vertical="center"/>
    </xf>
    <xf numFmtId="10" fontId="10" fillId="2" borderId="23" xfId="2" applyNumberFormat="1" applyFont="1" applyFill="1" applyBorder="1" applyAlignment="1">
      <alignment horizontal="left" vertical="center"/>
    </xf>
    <xf numFmtId="4" fontId="10" fillId="2" borderId="23" xfId="9" applyNumberFormat="1" applyFont="1" applyFill="1" applyBorder="1" applyAlignment="1">
      <alignment horizontal="left" vertical="center"/>
    </xf>
    <xf numFmtId="2" fontId="10" fillId="2" borderId="23" xfId="0" applyNumberFormat="1" applyFont="1" applyFill="1" applyBorder="1" applyAlignment="1">
      <alignment horizontal="left" vertical="center"/>
    </xf>
    <xf numFmtId="2" fontId="10" fillId="2" borderId="23" xfId="8" applyNumberFormat="1" applyFont="1" applyFill="1" applyBorder="1" applyAlignment="1">
      <alignment horizontal="left" vertical="center"/>
    </xf>
    <xf numFmtId="2" fontId="10" fillId="2" borderId="23" xfId="7" applyNumberFormat="1" applyFont="1" applyFill="1" applyBorder="1" applyAlignment="1">
      <alignment horizontal="left" vertical="center"/>
    </xf>
    <xf numFmtId="166" fontId="3" fillId="2" borderId="23" xfId="0" applyNumberFormat="1" applyFont="1" applyFill="1" applyBorder="1" applyAlignment="1" applyProtection="1">
      <alignment horizontal="center" vertical="center"/>
      <protection hidden="1"/>
    </xf>
    <xf numFmtId="43" fontId="10" fillId="2" borderId="23" xfId="8" applyNumberFormat="1" applyFont="1" applyFill="1" applyBorder="1" applyAlignment="1">
      <alignment vertical="center"/>
    </xf>
    <xf numFmtId="2" fontId="10" fillId="2" borderId="23" xfId="7" applyNumberFormat="1" applyFont="1" applyFill="1" applyBorder="1" applyAlignment="1">
      <alignment horizontal="center" vertical="center"/>
    </xf>
    <xf numFmtId="2" fontId="10" fillId="2" borderId="23" xfId="13" applyNumberFormat="1" applyFont="1" applyFill="1" applyBorder="1" applyAlignment="1" applyProtection="1">
      <alignment horizontal="left" vertical="center"/>
    </xf>
    <xf numFmtId="0" fontId="15" fillId="2" borderId="0" xfId="6" applyFont="1" applyFill="1" applyBorder="1" applyAlignment="1">
      <alignment horizontal="center" vertical="center"/>
    </xf>
    <xf numFmtId="0" fontId="10" fillId="2" borderId="2" xfId="6" applyFont="1" applyFill="1" applyBorder="1" applyAlignment="1">
      <alignment horizontal="center" vertical="center"/>
    </xf>
    <xf numFmtId="0" fontId="15" fillId="2" borderId="3" xfId="6" applyFont="1" applyFill="1" applyBorder="1" applyAlignment="1">
      <alignment horizontal="center" vertical="center"/>
    </xf>
    <xf numFmtId="0" fontId="15" fillId="2" borderId="1" xfId="7" applyFont="1" applyFill="1" applyBorder="1" applyAlignment="1">
      <alignment horizontal="center" vertical="center"/>
    </xf>
    <xf numFmtId="172" fontId="10" fillId="2" borderId="0" xfId="7" applyNumberFormat="1" applyFont="1" applyFill="1" applyBorder="1" applyAlignment="1">
      <alignment horizontal="center" vertical="center"/>
    </xf>
    <xf numFmtId="172" fontId="10" fillId="2" borderId="2" xfId="6" applyNumberFormat="1" applyFont="1" applyFill="1" applyBorder="1" applyAlignment="1">
      <alignment horizontal="center" vertical="center"/>
    </xf>
    <xf numFmtId="15" fontId="14" fillId="2" borderId="0" xfId="7" applyNumberFormat="1" applyFont="1" applyFill="1" applyBorder="1" applyAlignment="1">
      <alignment horizontal="center" vertical="center"/>
    </xf>
    <xf numFmtId="15" fontId="15" fillId="2" borderId="0" xfId="7" applyNumberFormat="1" applyFont="1" applyFill="1" applyBorder="1" applyAlignment="1">
      <alignment horizontal="center" vertical="center"/>
    </xf>
    <xf numFmtId="4" fontId="15" fillId="2" borderId="0" xfId="7" applyNumberFormat="1" applyFont="1" applyFill="1" applyBorder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10" fillId="2" borderId="0" xfId="7" applyFont="1" applyFill="1" applyBorder="1" applyAlignment="1">
      <alignment horizontal="center" vertical="center"/>
    </xf>
    <xf numFmtId="15" fontId="10" fillId="2" borderId="0" xfId="7" applyNumberFormat="1" applyFont="1" applyFill="1" applyBorder="1" applyAlignment="1">
      <alignment horizontal="center" vertical="center"/>
    </xf>
    <xf numFmtId="10" fontId="14" fillId="2" borderId="0" xfId="7" applyNumberFormat="1" applyFont="1" applyFill="1" applyBorder="1" applyAlignment="1">
      <alignment horizontal="center" vertical="center"/>
    </xf>
    <xf numFmtId="4" fontId="10" fillId="2" borderId="0" xfId="7" applyNumberFormat="1" applyFont="1" applyFill="1" applyBorder="1" applyAlignment="1">
      <alignment horizontal="center" vertical="center"/>
    </xf>
    <xf numFmtId="2" fontId="14" fillId="2" borderId="0" xfId="7" applyNumberFormat="1" applyFont="1" applyFill="1" applyBorder="1" applyAlignment="1">
      <alignment horizontal="center" vertical="center"/>
    </xf>
    <xf numFmtId="4" fontId="10" fillId="2" borderId="0" xfId="9" applyNumberFormat="1" applyFont="1" applyFill="1" applyBorder="1" applyAlignment="1">
      <alignment horizontal="center" vertical="center"/>
    </xf>
    <xf numFmtId="10" fontId="10" fillId="2" borderId="0" xfId="2" applyNumberFormat="1" applyFont="1" applyFill="1" applyBorder="1" applyAlignment="1">
      <alignment horizontal="center" vertical="center"/>
    </xf>
    <xf numFmtId="171" fontId="10" fillId="2" borderId="0" xfId="7" applyNumberFormat="1" applyFont="1" applyFill="1" applyBorder="1" applyAlignment="1">
      <alignment horizontal="center" vertical="center"/>
    </xf>
    <xf numFmtId="2" fontId="10" fillId="2" borderId="0" xfId="0" applyNumberFormat="1" applyFont="1" applyFill="1" applyBorder="1" applyAlignment="1">
      <alignment horizontal="center" vertical="center"/>
    </xf>
    <xf numFmtId="4" fontId="10" fillId="2" borderId="23" xfId="7" applyNumberFormat="1" applyFont="1" applyFill="1" applyBorder="1" applyAlignment="1">
      <alignment horizontal="center" vertical="center"/>
    </xf>
    <xf numFmtId="4" fontId="10" fillId="2" borderId="23" xfId="9" applyNumberFormat="1" applyFont="1" applyFill="1" applyBorder="1" applyAlignment="1">
      <alignment horizontal="center" vertical="center"/>
    </xf>
    <xf numFmtId="2" fontId="10" fillId="2" borderId="23" xfId="0" applyNumberFormat="1" applyFont="1" applyFill="1" applyBorder="1" applyAlignment="1">
      <alignment horizontal="center" vertical="center"/>
    </xf>
    <xf numFmtId="167" fontId="16" fillId="2" borderId="0" xfId="1" applyNumberFormat="1" applyFont="1" applyFill="1" applyBorder="1" applyAlignment="1" applyProtection="1">
      <alignment horizontal="center" vertical="center"/>
      <protection hidden="1"/>
    </xf>
    <xf numFmtId="0" fontId="10" fillId="2" borderId="0" xfId="9" applyFont="1" applyFill="1" applyBorder="1" applyAlignment="1">
      <alignment horizontal="center" vertical="center"/>
    </xf>
    <xf numFmtId="171" fontId="10" fillId="2" borderId="0" xfId="6" applyNumberFormat="1" applyFont="1" applyFill="1" applyBorder="1" applyAlignment="1">
      <alignment horizontal="center" vertical="center"/>
    </xf>
    <xf numFmtId="10" fontId="14" fillId="2" borderId="1" xfId="7" applyNumberFormat="1" applyFont="1" applyFill="1" applyBorder="1" applyAlignment="1">
      <alignment horizontal="center" vertical="center"/>
    </xf>
    <xf numFmtId="4" fontId="10" fillId="2" borderId="1" xfId="7" applyNumberFormat="1" applyFont="1" applyFill="1" applyBorder="1" applyAlignment="1">
      <alignment horizontal="center" vertical="center"/>
    </xf>
    <xf numFmtId="4" fontId="10" fillId="2" borderId="1" xfId="9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175" fontId="10" fillId="2" borderId="0" xfId="8" applyNumberFormat="1" applyFont="1" applyFill="1" applyBorder="1" applyAlignment="1">
      <alignment horizontal="center" vertical="center"/>
    </xf>
    <xf numFmtId="175" fontId="2" fillId="2" borderId="0" xfId="1" applyNumberFormat="1" applyFont="1" applyFill="1" applyBorder="1" applyAlignment="1" applyProtection="1">
      <alignment horizontal="center" vertical="center"/>
      <protection hidden="1"/>
    </xf>
    <xf numFmtId="175" fontId="3" fillId="2" borderId="0" xfId="0" applyNumberFormat="1" applyFont="1" applyFill="1" applyAlignment="1" applyProtection="1">
      <alignment horizontal="center" vertical="center"/>
      <protection hidden="1"/>
    </xf>
    <xf numFmtId="175" fontId="3" fillId="2" borderId="23" xfId="0" applyNumberFormat="1" applyFont="1" applyFill="1" applyBorder="1" applyAlignment="1" applyProtection="1">
      <alignment horizontal="center" vertical="center"/>
      <protection hidden="1"/>
    </xf>
    <xf numFmtId="175" fontId="10" fillId="2" borderId="23" xfId="8" applyNumberFormat="1" applyFont="1" applyFill="1" applyBorder="1" applyAlignment="1">
      <alignment horizontal="center" vertical="center"/>
    </xf>
    <xf numFmtId="175" fontId="3" fillId="2" borderId="0" xfId="0" applyNumberFormat="1" applyFont="1" applyFill="1" applyBorder="1" applyAlignment="1" applyProtection="1">
      <alignment horizontal="center" vertical="center"/>
      <protection hidden="1"/>
    </xf>
    <xf numFmtId="175" fontId="3" fillId="2" borderId="1" xfId="0" applyNumberFormat="1" applyFont="1" applyFill="1" applyBorder="1" applyAlignment="1" applyProtection="1">
      <alignment horizontal="center" vertical="center"/>
      <protection hidden="1"/>
    </xf>
    <xf numFmtId="175" fontId="10" fillId="2" borderId="1" xfId="8" applyNumberFormat="1" applyFont="1" applyFill="1" applyBorder="1" applyAlignment="1">
      <alignment horizontal="center" vertical="center"/>
    </xf>
    <xf numFmtId="169" fontId="10" fillId="2" borderId="0" xfId="10" applyNumberFormat="1" applyFont="1" applyFill="1" applyBorder="1" applyAlignment="1">
      <alignment horizontal="right" vertical="center"/>
    </xf>
    <xf numFmtId="169" fontId="10" fillId="2" borderId="0" xfId="8" applyNumberFormat="1" applyFont="1" applyFill="1" applyBorder="1" applyAlignment="1">
      <alignment horizontal="right" vertical="center"/>
    </xf>
    <xf numFmtId="169" fontId="12" fillId="2" borderId="1" xfId="12" applyNumberFormat="1" applyFont="1" applyFill="1" applyBorder="1" applyAlignment="1">
      <alignment horizontal="right" vertical="center"/>
    </xf>
    <xf numFmtId="169" fontId="10" fillId="2" borderId="0" xfId="12" applyNumberFormat="1" applyFont="1" applyFill="1" applyBorder="1" applyAlignment="1">
      <alignment horizontal="right" vertical="center"/>
    </xf>
    <xf numFmtId="169" fontId="2" fillId="2" borderId="0" xfId="1" applyNumberFormat="1" applyFont="1" applyFill="1" applyBorder="1" applyAlignment="1" applyProtection="1">
      <alignment horizontal="right" vertical="center"/>
      <protection hidden="1"/>
    </xf>
    <xf numFmtId="169" fontId="3" fillId="2" borderId="0" xfId="0" applyNumberFormat="1" applyFont="1" applyFill="1" applyAlignment="1" applyProtection="1">
      <alignment horizontal="right" vertical="center"/>
      <protection hidden="1"/>
    </xf>
    <xf numFmtId="169" fontId="3" fillId="2" borderId="0" xfId="0" applyNumberFormat="1" applyFont="1" applyFill="1" applyBorder="1" applyAlignment="1" applyProtection="1">
      <alignment horizontal="right" vertical="center"/>
      <protection hidden="1"/>
    </xf>
    <xf numFmtId="169" fontId="3" fillId="2" borderId="23" xfId="0" applyNumberFormat="1" applyFont="1" applyFill="1" applyBorder="1" applyAlignment="1" applyProtection="1">
      <alignment horizontal="right" vertical="center"/>
      <protection hidden="1"/>
    </xf>
    <xf numFmtId="169" fontId="10" fillId="2" borderId="23" xfId="8" applyNumberFormat="1" applyFont="1" applyFill="1" applyBorder="1" applyAlignment="1">
      <alignment horizontal="right" vertical="center"/>
    </xf>
    <xf numFmtId="0" fontId="25" fillId="12" borderId="22" xfId="0" applyFont="1" applyFill="1" applyBorder="1" applyAlignment="1" applyProtection="1">
      <alignment horizontal="left" vertical="center"/>
    </xf>
    <xf numFmtId="10" fontId="10" fillId="2" borderId="1" xfId="2" applyNumberFormat="1" applyFont="1" applyFill="1" applyBorder="1" applyAlignment="1">
      <alignment horizontal="center" vertical="center"/>
    </xf>
    <xf numFmtId="0" fontId="15" fillId="2" borderId="1" xfId="7" applyFont="1" applyFill="1" applyBorder="1" applyAlignment="1">
      <alignment horizontal="center" vertical="center"/>
    </xf>
    <xf numFmtId="0" fontId="15" fillId="2" borderId="1" xfId="7" applyFont="1" applyFill="1" applyBorder="1" applyAlignment="1">
      <alignment horizontal="center" vertical="center"/>
    </xf>
    <xf numFmtId="0" fontId="10" fillId="2" borderId="5" xfId="6" applyFont="1" applyFill="1" applyBorder="1" applyAlignment="1">
      <alignment horizontal="center" vertical="center"/>
    </xf>
    <xf numFmtId="0" fontId="10" fillId="2" borderId="6" xfId="6" applyFont="1" applyFill="1" applyBorder="1" applyAlignment="1">
      <alignment horizontal="center" vertical="center"/>
    </xf>
    <xf numFmtId="10" fontId="10" fillId="2" borderId="6" xfId="2" applyNumberFormat="1" applyFont="1" applyFill="1" applyBorder="1" applyAlignment="1">
      <alignment horizontal="center" vertical="center"/>
    </xf>
    <xf numFmtId="165" fontId="10" fillId="2" borderId="6" xfId="1" applyNumberFormat="1" applyFont="1" applyFill="1" applyBorder="1" applyAlignment="1">
      <alignment horizontal="center" vertical="center"/>
    </xf>
    <xf numFmtId="4" fontId="10" fillId="2" borderId="6" xfId="6" applyNumberFormat="1" applyFont="1" applyFill="1" applyBorder="1" applyAlignment="1">
      <alignment horizontal="center" vertical="center"/>
    </xf>
    <xf numFmtId="2" fontId="10" fillId="2" borderId="6" xfId="0" applyNumberFormat="1" applyFont="1" applyFill="1" applyBorder="1" applyAlignment="1">
      <alignment horizontal="center" vertical="center"/>
    </xf>
    <xf numFmtId="2" fontId="10" fillId="2" borderId="6" xfId="7" applyNumberFormat="1" applyFont="1" applyFill="1" applyBorder="1" applyAlignment="1">
      <alignment horizontal="center" vertical="center"/>
    </xf>
    <xf numFmtId="10" fontId="10" fillId="2" borderId="0" xfId="7" applyNumberFormat="1" applyFont="1" applyFill="1" applyBorder="1" applyAlignment="1">
      <alignment horizontal="center" vertical="center"/>
    </xf>
    <xf numFmtId="2" fontId="12" fillId="2" borderId="1" xfId="12" applyNumberFormat="1" applyFont="1" applyFill="1" applyBorder="1" applyAlignment="1">
      <alignment horizontal="center" vertical="center"/>
    </xf>
    <xf numFmtId="2" fontId="13" fillId="2" borderId="0" xfId="9" applyNumberFormat="1" applyFont="1" applyFill="1" applyBorder="1" applyAlignment="1">
      <alignment horizontal="center" vertical="center"/>
    </xf>
    <xf numFmtId="2" fontId="10" fillId="2" borderId="0" xfId="9" applyNumberFormat="1" applyFont="1" applyFill="1" applyBorder="1" applyAlignment="1">
      <alignment horizontal="center" vertical="center"/>
    </xf>
    <xf numFmtId="2" fontId="10" fillId="2" borderId="0" xfId="1" applyNumberFormat="1" applyFont="1" applyFill="1" applyBorder="1" applyAlignment="1">
      <alignment horizontal="center" vertical="center"/>
    </xf>
    <xf numFmtId="2" fontId="10" fillId="2" borderId="6" xfId="1" applyNumberFormat="1" applyFont="1" applyFill="1" applyBorder="1" applyAlignment="1">
      <alignment horizontal="center" vertical="center"/>
    </xf>
    <xf numFmtId="2" fontId="10" fillId="2" borderId="23" xfId="1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9" fontId="10" fillId="2" borderId="6" xfId="2" applyFont="1" applyFill="1" applyBorder="1" applyAlignment="1">
      <alignment horizontal="center" vertical="center"/>
    </xf>
    <xf numFmtId="2" fontId="10" fillId="2" borderId="1" xfId="9" applyNumberFormat="1" applyFont="1" applyFill="1" applyBorder="1" applyAlignment="1">
      <alignment horizontal="center" vertical="center"/>
    </xf>
    <xf numFmtId="2" fontId="10" fillId="2" borderId="6" xfId="8" applyNumberFormat="1" applyFont="1" applyFill="1" applyBorder="1" applyAlignment="1">
      <alignment horizontal="center" vertical="center"/>
    </xf>
    <xf numFmtId="0" fontId="15" fillId="2" borderId="3" xfId="9" applyFont="1" applyFill="1" applyBorder="1" applyAlignment="1">
      <alignment horizontal="center" vertical="center"/>
    </xf>
    <xf numFmtId="0" fontId="12" fillId="2" borderId="1" xfId="12" applyFont="1" applyFill="1" applyBorder="1" applyAlignment="1">
      <alignment horizontal="center" vertical="center"/>
    </xf>
    <xf numFmtId="2" fontId="10" fillId="2" borderId="0" xfId="10" applyNumberFormat="1" applyFont="1" applyFill="1" applyBorder="1" applyAlignment="1">
      <alignment horizontal="center" vertical="center"/>
    </xf>
    <xf numFmtId="2" fontId="10" fillId="2" borderId="0" xfId="12" applyNumberFormat="1" applyFont="1" applyFill="1" applyBorder="1" applyAlignment="1">
      <alignment horizontal="center" vertical="center"/>
    </xf>
    <xf numFmtId="2" fontId="10" fillId="2" borderId="1" xfId="12" applyNumberFormat="1" applyFont="1" applyFill="1" applyBorder="1" applyAlignment="1">
      <alignment horizontal="center" vertical="center"/>
    </xf>
    <xf numFmtId="2" fontId="10" fillId="2" borderId="0" xfId="8" applyNumberFormat="1" applyFont="1" applyFill="1" applyBorder="1" applyAlignment="1">
      <alignment horizontal="center" vertical="center"/>
    </xf>
    <xf numFmtId="172" fontId="10" fillId="2" borderId="0" xfId="7" applyNumberFormat="1" applyFont="1" applyFill="1" applyBorder="1" applyAlignment="1">
      <alignment horizontal="left" vertical="center"/>
    </xf>
    <xf numFmtId="10" fontId="10" fillId="2" borderId="0" xfId="8" applyNumberFormat="1" applyFont="1" applyFill="1" applyBorder="1" applyAlignment="1">
      <alignment horizontal="left" vertical="center"/>
    </xf>
    <xf numFmtId="167" fontId="10" fillId="2" borderId="0" xfId="1" applyNumberFormat="1" applyFont="1" applyFill="1" applyBorder="1" applyAlignment="1" applyProtection="1">
      <alignment horizontal="left" vertical="center"/>
      <protection hidden="1"/>
    </xf>
    <xf numFmtId="167" fontId="10" fillId="2" borderId="0" xfId="1" applyNumberFormat="1" applyFont="1" applyFill="1" applyBorder="1" applyAlignment="1" applyProtection="1">
      <alignment horizontal="center" vertical="center"/>
      <protection hidden="1"/>
    </xf>
    <xf numFmtId="2" fontId="10" fillId="2" borderId="23" xfId="9" applyNumberFormat="1" applyFont="1" applyFill="1" applyBorder="1" applyAlignment="1">
      <alignment horizontal="center" vertical="center"/>
    </xf>
    <xf numFmtId="1" fontId="14" fillId="2" borderId="0" xfId="1" applyNumberFormat="1" applyFont="1" applyFill="1" applyBorder="1" applyAlignment="1">
      <alignment horizontal="center" vertical="center"/>
    </xf>
    <xf numFmtId="10" fontId="14" fillId="2" borderId="0" xfId="2" applyNumberFormat="1" applyFont="1" applyFill="1" applyBorder="1" applyAlignment="1">
      <alignment horizontal="center" vertical="center"/>
    </xf>
    <xf numFmtId="10" fontId="14" fillId="2" borderId="1" xfId="2" applyNumberFormat="1" applyFont="1" applyFill="1" applyBorder="1" applyAlignment="1">
      <alignment horizontal="center" vertical="center"/>
    </xf>
    <xf numFmtId="0" fontId="10" fillId="2" borderId="6" xfId="8" applyFont="1" applyFill="1" applyBorder="1" applyAlignment="1">
      <alignment horizontal="center" vertical="center"/>
    </xf>
    <xf numFmtId="0" fontId="10" fillId="2" borderId="0" xfId="8" applyFont="1" applyFill="1" applyBorder="1" applyAlignment="1">
      <alignment horizontal="center" vertical="center"/>
    </xf>
    <xf numFmtId="15" fontId="10" fillId="2" borderId="0" xfId="9" applyNumberFormat="1" applyFont="1" applyFill="1" applyBorder="1" applyAlignment="1">
      <alignment horizontal="center" vertical="center"/>
    </xf>
    <xf numFmtId="1" fontId="10" fillId="2" borderId="0" xfId="1" applyNumberFormat="1" applyFont="1" applyFill="1" applyBorder="1" applyAlignment="1">
      <alignment horizontal="center" vertical="center"/>
    </xf>
    <xf numFmtId="1" fontId="10" fillId="2" borderId="1" xfId="1" applyNumberFormat="1" applyFont="1" applyFill="1" applyBorder="1" applyAlignment="1">
      <alignment horizontal="center" vertical="center"/>
    </xf>
    <xf numFmtId="15" fontId="13" fillId="2" borderId="0" xfId="12" applyNumberFormat="1" applyFont="1" applyFill="1" applyBorder="1" applyAlignment="1">
      <alignment horizontal="center" vertical="center"/>
    </xf>
    <xf numFmtId="15" fontId="10" fillId="2" borderId="0" xfId="12" applyNumberFormat="1" applyFont="1" applyFill="1" applyBorder="1" applyAlignment="1">
      <alignment horizontal="center" vertical="center"/>
    </xf>
    <xf numFmtId="15" fontId="10" fillId="2" borderId="1" xfId="9" applyNumberFormat="1" applyFont="1" applyFill="1" applyBorder="1" applyAlignment="1">
      <alignment horizontal="center" vertical="center"/>
    </xf>
    <xf numFmtId="4" fontId="10" fillId="2" borderId="6" xfId="8" applyNumberFormat="1" applyFont="1" applyFill="1" applyBorder="1" applyAlignment="1">
      <alignment horizontal="center" vertical="center"/>
    </xf>
    <xf numFmtId="3" fontId="10" fillId="2" borderId="0" xfId="7" applyNumberFormat="1" applyFont="1" applyFill="1" applyBorder="1" applyAlignment="1">
      <alignment horizontal="center" vertical="center"/>
    </xf>
    <xf numFmtId="3" fontId="10" fillId="2" borderId="0" xfId="9" applyNumberFormat="1" applyFont="1" applyFill="1" applyBorder="1" applyAlignment="1">
      <alignment horizontal="left" vertical="center"/>
    </xf>
    <xf numFmtId="168" fontId="10" fillId="2" borderId="2" xfId="1" applyNumberFormat="1" applyFont="1" applyFill="1" applyBorder="1" applyAlignment="1">
      <alignment horizontal="center" vertical="center"/>
    </xf>
    <xf numFmtId="168" fontId="10" fillId="2" borderId="22" xfId="1" applyNumberFormat="1" applyFont="1" applyFill="1" applyBorder="1" applyAlignment="1">
      <alignment horizontal="center" vertical="center"/>
    </xf>
    <xf numFmtId="0" fontId="10" fillId="2" borderId="2" xfId="8" applyFont="1" applyFill="1" applyBorder="1" applyAlignment="1">
      <alignment horizontal="center" vertical="center"/>
    </xf>
    <xf numFmtId="172" fontId="10" fillId="2" borderId="2" xfId="9" applyNumberFormat="1" applyFont="1" applyFill="1" applyBorder="1" applyAlignment="1">
      <alignment horizontal="center" vertical="center"/>
    </xf>
    <xf numFmtId="0" fontId="10" fillId="2" borderId="5" xfId="8" applyFont="1" applyFill="1" applyBorder="1" applyAlignment="1">
      <alignment horizontal="center" vertical="center"/>
    </xf>
    <xf numFmtId="168" fontId="10" fillId="2" borderId="3" xfId="1" applyNumberFormat="1" applyFont="1" applyFill="1" applyBorder="1" applyAlignment="1">
      <alignment horizontal="center" vertical="center"/>
    </xf>
    <xf numFmtId="15" fontId="10" fillId="2" borderId="6" xfId="9" applyNumberFormat="1" applyFont="1" applyFill="1" applyBorder="1" applyAlignment="1">
      <alignment horizontal="center" vertical="center"/>
    </xf>
    <xf numFmtId="10" fontId="15" fillId="2" borderId="0" xfId="2" applyNumberFormat="1" applyFont="1" applyFill="1" applyBorder="1" applyAlignment="1">
      <alignment horizontal="center" vertical="center"/>
    </xf>
    <xf numFmtId="171" fontId="10" fillId="2" borderId="0" xfId="9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left" vertical="center"/>
    </xf>
    <xf numFmtId="0" fontId="6" fillId="11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vertical="center"/>
    </xf>
    <xf numFmtId="170" fontId="17" fillId="11" borderId="0" xfId="0" applyNumberFormat="1" applyFont="1" applyFill="1" applyBorder="1" applyAlignment="1" applyProtection="1">
      <alignment horizontal="left" vertical="center"/>
    </xf>
    <xf numFmtId="170" fontId="7" fillId="2" borderId="0" xfId="0" applyNumberFormat="1" applyFont="1" applyFill="1" applyBorder="1" applyAlignment="1" applyProtection="1">
      <alignment horizontal="center" vertical="center"/>
    </xf>
    <xf numFmtId="170" fontId="7" fillId="2" borderId="0" xfId="0" applyNumberFormat="1" applyFont="1" applyFill="1" applyBorder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0" fontId="17" fillId="11" borderId="0" xfId="0" applyFont="1" applyFill="1" applyBorder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</xf>
    <xf numFmtId="168" fontId="7" fillId="2" borderId="0" xfId="1" applyNumberFormat="1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/>
    </xf>
    <xf numFmtId="3" fontId="7" fillId="2" borderId="0" xfId="0" applyNumberFormat="1" applyFont="1" applyFill="1" applyBorder="1" applyAlignment="1" applyProtection="1">
      <alignment horizontal="center" vertical="center"/>
    </xf>
    <xf numFmtId="167" fontId="7" fillId="2" borderId="0" xfId="1" applyNumberFormat="1" applyFont="1" applyFill="1" applyBorder="1" applyAlignment="1" applyProtection="1">
      <alignment horizontal="center" vertical="center"/>
    </xf>
    <xf numFmtId="10" fontId="7" fillId="2" borderId="0" xfId="0" applyNumberFormat="1" applyFont="1" applyFill="1" applyBorder="1" applyAlignment="1" applyProtection="1">
      <alignment horizontal="center" vertical="center"/>
    </xf>
    <xf numFmtId="4" fontId="7" fillId="2" borderId="0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left" vertical="center"/>
    </xf>
    <xf numFmtId="168" fontId="6" fillId="3" borderId="0" xfId="1" applyNumberFormat="1" applyFont="1" applyFill="1" applyBorder="1" applyAlignment="1" applyProtection="1">
      <alignment horizontal="center" vertical="center"/>
    </xf>
    <xf numFmtId="10" fontId="11" fillId="2" borderId="0" xfId="2" applyNumberFormat="1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2" fontId="6" fillId="3" borderId="27" xfId="2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/>
    </xf>
    <xf numFmtId="10" fontId="6" fillId="3" borderId="27" xfId="2" applyNumberFormat="1" applyFont="1" applyFill="1" applyBorder="1" applyAlignment="1" applyProtection="1">
      <alignment horizontal="center" vertical="center"/>
    </xf>
    <xf numFmtId="10" fontId="8" fillId="13" borderId="2" xfId="0" applyNumberFormat="1" applyFont="1" applyFill="1" applyBorder="1" applyAlignment="1" applyProtection="1">
      <alignment horizontal="left" vertical="center"/>
    </xf>
    <xf numFmtId="10" fontId="8" fillId="13" borderId="27" xfId="0" applyNumberFormat="1" applyFont="1" applyFill="1" applyBorder="1" applyAlignment="1" applyProtection="1">
      <alignment horizontal="center" vertical="center"/>
    </xf>
    <xf numFmtId="10" fontId="5" fillId="2" borderId="0" xfId="0" applyNumberFormat="1" applyFont="1" applyFill="1" applyBorder="1" applyAlignment="1" applyProtection="1">
      <alignment horizontal="left" vertical="center"/>
    </xf>
    <xf numFmtId="174" fontId="5" fillId="2" borderId="0" xfId="0" applyNumberFormat="1" applyFont="1" applyFill="1" applyBorder="1" applyAlignment="1" applyProtection="1">
      <alignment horizontal="left" vertical="center"/>
    </xf>
    <xf numFmtId="174" fontId="8" fillId="13" borderId="3" xfId="0" applyNumberFormat="1" applyFont="1" applyFill="1" applyBorder="1" applyAlignment="1" applyProtection="1">
      <alignment horizontal="left" vertical="center"/>
    </xf>
    <xf numFmtId="10" fontId="8" fillId="13" borderId="4" xfId="0" applyNumberFormat="1" applyFont="1" applyFill="1" applyBorder="1" applyAlignment="1" applyProtection="1">
      <alignment horizontal="center" vertical="center"/>
    </xf>
    <xf numFmtId="174" fontId="11" fillId="2" borderId="0" xfId="0" applyNumberFormat="1" applyFont="1" applyFill="1" applyBorder="1" applyAlignment="1" applyProtection="1">
      <alignment horizontal="left" vertical="center"/>
    </xf>
    <xf numFmtId="174" fontId="8" fillId="2" borderId="0" xfId="0" applyNumberFormat="1" applyFont="1" applyFill="1" applyBorder="1" applyAlignment="1" applyProtection="1">
      <alignment horizontal="left" vertical="center"/>
    </xf>
    <xf numFmtId="10" fontId="8" fillId="2" borderId="0" xfId="0" applyNumberFormat="1" applyFont="1" applyFill="1" applyBorder="1" applyAlignment="1" applyProtection="1">
      <alignment horizontal="center" vertical="center"/>
    </xf>
    <xf numFmtId="0" fontId="24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 wrapText="1"/>
    </xf>
    <xf numFmtId="169" fontId="10" fillId="2" borderId="0" xfId="0" applyNumberFormat="1" applyFont="1" applyFill="1" applyAlignment="1" applyProtection="1">
      <alignment horizontal="center" vertical="center"/>
    </xf>
    <xf numFmtId="10" fontId="25" fillId="12" borderId="26" xfId="2" applyNumberFormat="1" applyFont="1" applyFill="1" applyBorder="1" applyAlignment="1" applyProtection="1">
      <alignment horizontal="center" vertical="center"/>
      <protection locked="0"/>
    </xf>
    <xf numFmtId="0" fontId="25" fillId="10" borderId="24" xfId="0" applyFont="1" applyFill="1" applyBorder="1" applyAlignment="1" applyProtection="1">
      <alignment horizontal="center" vertical="center"/>
    </xf>
    <xf numFmtId="0" fontId="25" fillId="10" borderId="25" xfId="0" applyFont="1" applyFill="1" applyBorder="1" applyAlignment="1" applyProtection="1">
      <alignment horizontal="center" vertical="center"/>
    </xf>
    <xf numFmtId="0" fontId="9" fillId="11" borderId="0" xfId="0" applyFont="1" applyFill="1" applyBorder="1" applyAlignment="1" applyProtection="1">
      <alignment horizontal="center" vertical="center" wrapText="1"/>
    </xf>
    <xf numFmtId="0" fontId="6" fillId="6" borderId="0" xfId="0" applyFont="1" applyFill="1" applyBorder="1" applyAlignment="1" applyProtection="1">
      <alignment horizontal="left" vertical="center"/>
    </xf>
    <xf numFmtId="0" fontId="15" fillId="2" borderId="1" xfId="9" applyFont="1" applyFill="1" applyBorder="1" applyAlignment="1">
      <alignment horizontal="left" vertical="center"/>
    </xf>
    <xf numFmtId="0" fontId="15" fillId="2" borderId="1" xfId="7" applyFont="1" applyFill="1" applyBorder="1" applyAlignment="1">
      <alignment horizontal="center" vertical="center"/>
    </xf>
    <xf numFmtId="0" fontId="15" fillId="2" borderId="4" xfId="7" applyFont="1" applyFill="1" applyBorder="1" applyAlignment="1">
      <alignment horizontal="center" vertical="center"/>
    </xf>
  </cellXfs>
  <cellStyles count="18">
    <cellStyle name="AFE" xfId="17" xr:uid="{00000000-0005-0000-0000-000000000000}"/>
    <cellStyle name="Cambiar to&amp;do" xfId="6" xr:uid="{00000000-0005-0000-0000-000001000000}"/>
    <cellStyle name="Cambiar to&amp;do 2" xfId="10" xr:uid="{00000000-0005-0000-0000-000002000000}"/>
    <cellStyle name="Millares" xfId="1" builtinId="3"/>
    <cellStyle name="Millares 16" xfId="13" xr:uid="{00000000-0005-0000-0000-000004000000}"/>
    <cellStyle name="Millares 2" xfId="3" xr:uid="{00000000-0005-0000-0000-000005000000}"/>
    <cellStyle name="Millares 2 2" xfId="4" xr:uid="{00000000-0005-0000-0000-000006000000}"/>
    <cellStyle name="Millares 3" xfId="14" xr:uid="{00000000-0005-0000-0000-000007000000}"/>
    <cellStyle name="Moneda 2" xfId="15" xr:uid="{00000000-0005-0000-0000-000008000000}"/>
    <cellStyle name="Normal" xfId="0" builtinId="0"/>
    <cellStyle name="Normal 2" xfId="5" xr:uid="{00000000-0005-0000-0000-00000A000000}"/>
    <cellStyle name="Normal 2 2" xfId="16" xr:uid="{00000000-0005-0000-0000-00000B000000}"/>
    <cellStyle name="Normal 3" xfId="8" xr:uid="{00000000-0005-0000-0000-00000C000000}"/>
    <cellStyle name="Normal 5" xfId="12" xr:uid="{00000000-0005-0000-0000-00000D000000}"/>
    <cellStyle name="Normal_Excel Bloomberg (Títulos y ONs Bancos) NOBACS" xfId="7" xr:uid="{00000000-0005-0000-0000-00000E000000}"/>
    <cellStyle name="Normal_Excel Bloomberg (Títulos y ONs Bancos) NOBACS 2" xfId="9" xr:uid="{00000000-0005-0000-0000-00000F000000}"/>
    <cellStyle name="Porcentaje" xfId="2" builtinId="5"/>
    <cellStyle name="Porcentaje 2" xfId="11" xr:uid="{00000000-0005-0000-0000-000011000000}"/>
  </cellStyles>
  <dxfs count="0"/>
  <tableStyles count="0" defaultTableStyle="TableStyleMedium9" defaultPivotStyle="PivotStyleLight16"/>
  <colors>
    <mruColors>
      <color rgb="FFE1EDA5"/>
      <color rgb="FFA8C227"/>
      <color rgb="FF003399"/>
      <color rgb="FFFF6600"/>
      <color rgb="FF006600"/>
      <color rgb="FF0250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Curva CER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4.3759249409579752E-2"/>
                  <c:y val="0.236476896806808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</c:trendlineLbl>
          </c:trendline>
          <c:xVal>
            <c:numRef>
              <c:f>'Interpolacion Curva'!$C$22:$C$32</c:f>
              <c:numCache>
                <c:formatCode>0.00</c:formatCode>
                <c:ptCount val="11"/>
                <c:pt idx="0">
                  <c:v>0.66900000000000004</c:v>
                </c:pt>
                <c:pt idx="1">
                  <c:v>1.18</c:v>
                </c:pt>
                <c:pt idx="2">
                  <c:v>1.573</c:v>
                </c:pt>
                <c:pt idx="3">
                  <c:v>1.6480000000000001</c:v>
                </c:pt>
                <c:pt idx="4">
                  <c:v>2.5750000000000002</c:v>
                </c:pt>
                <c:pt idx="5">
                  <c:v>3.4290000000000003</c:v>
                </c:pt>
                <c:pt idx="6">
                  <c:v>3.9670000000000001</c:v>
                </c:pt>
                <c:pt idx="7">
                  <c:v>4.4729999999999999</c:v>
                </c:pt>
                <c:pt idx="8">
                  <c:v>5.6559999999999997</c:v>
                </c:pt>
                <c:pt idx="9">
                  <c:v>9.4420000000000002</c:v>
                </c:pt>
                <c:pt idx="10">
                  <c:v>10.842000000000001</c:v>
                </c:pt>
              </c:numCache>
            </c:numRef>
          </c:xVal>
          <c:yVal>
            <c:numRef>
              <c:f>'Interpolacion Curva'!$D$22:$D$32</c:f>
              <c:numCache>
                <c:formatCode>_(* #,##0.00_);_(* \(#,##0.00\);_(* "-"??_);_(@_)</c:formatCode>
                <c:ptCount val="11"/>
                <c:pt idx="0">
                  <c:v>2.3740000000000001</c:v>
                </c:pt>
                <c:pt idx="1">
                  <c:v>2.5720000000000001</c:v>
                </c:pt>
                <c:pt idx="2">
                  <c:v>2.1030000000000002</c:v>
                </c:pt>
                <c:pt idx="3">
                  <c:v>3.552</c:v>
                </c:pt>
                <c:pt idx="4">
                  <c:v>5.2649999999999997</c:v>
                </c:pt>
                <c:pt idx="5">
                  <c:v>5.3220000000000001</c:v>
                </c:pt>
                <c:pt idx="6">
                  <c:v>6.89</c:v>
                </c:pt>
                <c:pt idx="7">
                  <c:v>7.7460000000000004</c:v>
                </c:pt>
                <c:pt idx="8">
                  <c:v>8.6270000000000007</c:v>
                </c:pt>
                <c:pt idx="9">
                  <c:v>10.872</c:v>
                </c:pt>
                <c:pt idx="10">
                  <c:v>9.9420000000000002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7A-4DDA-849A-33F81E885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890088"/>
        <c:axId val="410891656"/>
      </c:scatterChart>
      <c:valAx>
        <c:axId val="41089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10891656"/>
        <c:crosses val="autoZero"/>
        <c:crossBetween val="midCat"/>
      </c:valAx>
      <c:valAx>
        <c:axId val="410891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10890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Curva CER (sin TC25)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4.3759249409579752E-2"/>
                  <c:y val="0.236476896806808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</c:trendlineLbl>
          </c:trendline>
          <c:xVal>
            <c:numRef>
              <c:f>'Interpolacion Curva'!$H$22:$H$32</c:f>
              <c:numCache>
                <c:formatCode>0.00</c:formatCode>
                <c:ptCount val="11"/>
                <c:pt idx="1">
                  <c:v>0.66900000000000004</c:v>
                </c:pt>
                <c:pt idx="2">
                  <c:v>1.18</c:v>
                </c:pt>
                <c:pt idx="3">
                  <c:v>1.573</c:v>
                </c:pt>
                <c:pt idx="4">
                  <c:v>1.6480000000000001</c:v>
                </c:pt>
                <c:pt idx="5">
                  <c:v>2.58</c:v>
                </c:pt>
                <c:pt idx="6">
                  <c:v>3.9670000000000001</c:v>
                </c:pt>
                <c:pt idx="7">
                  <c:v>4.4729999999999999</c:v>
                </c:pt>
                <c:pt idx="8">
                  <c:v>5.6559999999999997</c:v>
                </c:pt>
                <c:pt idx="9">
                  <c:v>9.4420000000000002</c:v>
                </c:pt>
                <c:pt idx="10">
                  <c:v>10.842000000000001</c:v>
                </c:pt>
              </c:numCache>
            </c:numRef>
          </c:xVal>
          <c:yVal>
            <c:numRef>
              <c:f>'Interpolacion Curva'!$I$22:$I$32</c:f>
              <c:numCache>
                <c:formatCode>_(* #,##0.00_);_(* \(#,##0.00\);_(* "-"??_);_(@_)</c:formatCode>
                <c:ptCount val="11"/>
                <c:pt idx="1">
                  <c:v>2.3740000000000001</c:v>
                </c:pt>
                <c:pt idx="2">
                  <c:v>2.5720000000000001</c:v>
                </c:pt>
                <c:pt idx="3">
                  <c:v>2.1030000000000002</c:v>
                </c:pt>
                <c:pt idx="4">
                  <c:v>3.552</c:v>
                </c:pt>
                <c:pt idx="5">
                  <c:v>5.27</c:v>
                </c:pt>
                <c:pt idx="6">
                  <c:v>6.89</c:v>
                </c:pt>
                <c:pt idx="7">
                  <c:v>7.7460000000000004</c:v>
                </c:pt>
                <c:pt idx="8">
                  <c:v>8.6270000000000007</c:v>
                </c:pt>
                <c:pt idx="9">
                  <c:v>10.872</c:v>
                </c:pt>
                <c:pt idx="10">
                  <c:v>9.9420000000000002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A6-421C-A005-E478BE8A5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5056192"/>
        <c:axId val="415056584"/>
      </c:scatterChart>
      <c:valAx>
        <c:axId val="415056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15056584"/>
        <c:crosses val="autoZero"/>
        <c:crossBetween val="midCat"/>
      </c:valAx>
      <c:valAx>
        <c:axId val="415056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1505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Interpolacion!$C$22:$C$33</c:f>
              <c:numCache>
                <c:formatCode>0.00</c:formatCode>
                <c:ptCount val="12"/>
                <c:pt idx="0">
                  <c:v>0.66900000000000004</c:v>
                </c:pt>
                <c:pt idx="1">
                  <c:v>1.18</c:v>
                </c:pt>
                <c:pt idx="2">
                  <c:v>1.573</c:v>
                </c:pt>
                <c:pt idx="3">
                  <c:v>1.6480000000000001</c:v>
                </c:pt>
                <c:pt idx="4">
                  <c:v>2.5750000000000002</c:v>
                </c:pt>
                <c:pt idx="5">
                  <c:v>3.4290000000000003</c:v>
                </c:pt>
                <c:pt idx="6">
                  <c:v>3.8821147945205481</c:v>
                </c:pt>
                <c:pt idx="7">
                  <c:v>3.9670000000000001</c:v>
                </c:pt>
                <c:pt idx="8">
                  <c:v>4.4729999999999999</c:v>
                </c:pt>
                <c:pt idx="9">
                  <c:v>5.6559999999999997</c:v>
                </c:pt>
                <c:pt idx="10">
                  <c:v>9.4420000000000002</c:v>
                </c:pt>
                <c:pt idx="11">
                  <c:v>10.842000000000001</c:v>
                </c:pt>
              </c:numCache>
            </c:numRef>
          </c:xVal>
          <c:yVal>
            <c:numRef>
              <c:f>Interpolacion!$D$22:$D$33</c:f>
              <c:numCache>
                <c:formatCode>_(* #,##0.00_);_(* \(#,##0.00\);_(* "-"??_);_(@_)</c:formatCode>
                <c:ptCount val="12"/>
                <c:pt idx="0">
                  <c:v>2.3740000000000001</c:v>
                </c:pt>
                <c:pt idx="1">
                  <c:v>2.5720000000000001</c:v>
                </c:pt>
                <c:pt idx="2">
                  <c:v>2.1030000000000002</c:v>
                </c:pt>
                <c:pt idx="3">
                  <c:v>3.552</c:v>
                </c:pt>
                <c:pt idx="4">
                  <c:v>5.2649999999999997</c:v>
                </c:pt>
                <c:pt idx="5">
                  <c:v>5.3220000000000001</c:v>
                </c:pt>
                <c:pt idx="6" formatCode="0.00">
                  <c:v>6.6426022264093287</c:v>
                </c:pt>
                <c:pt idx="7">
                  <c:v>6.89</c:v>
                </c:pt>
                <c:pt idx="8">
                  <c:v>7.7460000000000004</c:v>
                </c:pt>
                <c:pt idx="9">
                  <c:v>8.6270000000000007</c:v>
                </c:pt>
                <c:pt idx="10">
                  <c:v>10.872</c:v>
                </c:pt>
                <c:pt idx="11">
                  <c:v>9.9420000000000002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E2-4DE2-9569-FAA72A8C4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849856"/>
        <c:axId val="410850248"/>
      </c:scatterChart>
      <c:valAx>
        <c:axId val="410849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10850248"/>
        <c:crosses val="autoZero"/>
        <c:crossBetween val="midCat"/>
      </c:valAx>
      <c:valAx>
        <c:axId val="41085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10849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</xdr:colOff>
      <xdr:row>33</xdr:row>
      <xdr:rowOff>147636</xdr:rowOff>
    </xdr:from>
    <xdr:to>
      <xdr:col>9</xdr:col>
      <xdr:colOff>95250</xdr:colOff>
      <xdr:row>54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600075</xdr:colOff>
      <xdr:row>34</xdr:row>
      <xdr:rowOff>85725</xdr:rowOff>
    </xdr:from>
    <xdr:to>
      <xdr:col>17</xdr:col>
      <xdr:colOff>519113</xdr:colOff>
      <xdr:row>55</xdr:row>
      <xdr:rowOff>90488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633412</xdr:colOff>
      <xdr:row>34</xdr:row>
      <xdr:rowOff>80962</xdr:rowOff>
    </xdr:from>
    <xdr:to>
      <xdr:col>9</xdr:col>
      <xdr:colOff>80962</xdr:colOff>
      <xdr:row>52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83128</xdr:colOff>
      <xdr:row>2</xdr:row>
      <xdr:rowOff>27037</xdr:rowOff>
    </xdr:from>
    <xdr:to>
      <xdr:col>13</xdr:col>
      <xdr:colOff>491407</xdr:colOff>
      <xdr:row>6</xdr:row>
      <xdr:rowOff>102943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0C4B84-EB35-416A-9118-4369E733D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0583" y="103237"/>
          <a:ext cx="2756625" cy="650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opLeftCell="A22" workbookViewId="0">
      <selection activeCell="D58" sqref="D58"/>
    </sheetView>
  </sheetViews>
  <sheetFormatPr baseColWidth="10" defaultColWidth="11.44140625" defaultRowHeight="12" x14ac:dyDescent="0.25"/>
  <cols>
    <col min="1" max="1" width="1.88671875" style="63" customWidth="1"/>
    <col min="2" max="2" width="10.5546875" style="63" customWidth="1"/>
    <col min="3" max="3" width="9" style="63" customWidth="1"/>
    <col min="4" max="8" width="9.33203125" style="63" customWidth="1"/>
    <col min="9" max="10" width="10.88671875" style="63" customWidth="1"/>
    <col min="11" max="16384" width="11.44140625" style="63"/>
  </cols>
  <sheetData>
    <row r="1" spans="1:11" ht="5.25" customHeight="1" x14ac:dyDescent="0.25"/>
    <row r="2" spans="1:11" x14ac:dyDescent="0.25">
      <c r="A2" s="101"/>
      <c r="B2" s="109" t="s">
        <v>64</v>
      </c>
      <c r="C2" s="109"/>
      <c r="D2" s="109"/>
      <c r="E2" s="109"/>
      <c r="F2" s="109"/>
      <c r="G2" s="109"/>
      <c r="H2" s="109"/>
      <c r="I2" s="76"/>
      <c r="J2" s="76"/>
      <c r="K2" s="105"/>
    </row>
    <row r="3" spans="1:11" x14ac:dyDescent="0.25">
      <c r="B3" s="87" t="s">
        <v>35</v>
      </c>
      <c r="C3" s="88" t="s">
        <v>70</v>
      </c>
      <c r="D3" s="89" t="s">
        <v>36</v>
      </c>
      <c r="E3" s="89" t="s">
        <v>37</v>
      </c>
      <c r="F3" s="89" t="s">
        <v>38</v>
      </c>
      <c r="G3" s="89" t="s">
        <v>39</v>
      </c>
      <c r="H3" s="89" t="s">
        <v>40</v>
      </c>
      <c r="I3" s="89" t="s">
        <v>41</v>
      </c>
      <c r="J3" s="87" t="s">
        <v>42</v>
      </c>
      <c r="K3" s="105"/>
    </row>
    <row r="4" spans="1:11" x14ac:dyDescent="0.25">
      <c r="B4" s="90"/>
      <c r="C4" s="110">
        <v>44385</v>
      </c>
      <c r="D4" s="91" t="s">
        <v>44</v>
      </c>
      <c r="E4" s="91" t="s">
        <v>44</v>
      </c>
      <c r="F4" s="92" t="s">
        <v>45</v>
      </c>
      <c r="G4" s="92" t="s">
        <v>46</v>
      </c>
      <c r="H4" s="92" t="s">
        <v>15</v>
      </c>
      <c r="I4" s="92" t="s">
        <v>47</v>
      </c>
      <c r="J4" s="87" t="s">
        <v>48</v>
      </c>
      <c r="K4" s="105"/>
    </row>
    <row r="5" spans="1:11" hidden="1" x14ac:dyDescent="0.25">
      <c r="B5" s="72" t="s">
        <v>43</v>
      </c>
      <c r="C5" s="73">
        <v>0.06</v>
      </c>
      <c r="D5" s="67">
        <v>528.20000000000005</v>
      </c>
      <c r="E5" s="67">
        <v>6.1930000000000005</v>
      </c>
      <c r="F5" s="67">
        <v>527.745</v>
      </c>
      <c r="G5" s="67">
        <v>2.4980000000000002</v>
      </c>
      <c r="H5" s="67">
        <v>2.5000000000000001E-2</v>
      </c>
      <c r="K5" s="105"/>
    </row>
    <row r="6" spans="1:11" hidden="1" x14ac:dyDescent="0.25">
      <c r="B6" s="72" t="s">
        <v>49</v>
      </c>
      <c r="C6" s="73">
        <v>-0.83</v>
      </c>
      <c r="D6" s="68">
        <v>167.70000000000002</v>
      </c>
      <c r="E6" s="68">
        <v>0.73199999999999998</v>
      </c>
      <c r="F6" s="68">
        <v>167.51</v>
      </c>
      <c r="G6" s="68">
        <v>0.999</v>
      </c>
      <c r="H6" s="68">
        <v>6.3E-2</v>
      </c>
      <c r="K6" s="105"/>
    </row>
    <row r="7" spans="1:11" x14ac:dyDescent="0.25">
      <c r="B7" s="72" t="s">
        <v>50</v>
      </c>
      <c r="C7" s="73">
        <v>2.3740000000000001</v>
      </c>
      <c r="D7" s="68">
        <v>159.25</v>
      </c>
      <c r="E7" s="68">
        <v>0.61299999999999999</v>
      </c>
      <c r="F7" s="68">
        <v>160.49299999999999</v>
      </c>
      <c r="G7" s="68">
        <v>1.2090000000000001</v>
      </c>
      <c r="H7" s="68">
        <v>0.66900000000000004</v>
      </c>
      <c r="I7" s="104">
        <v>181921934</v>
      </c>
      <c r="J7" s="98">
        <v>455623172</v>
      </c>
      <c r="K7" s="105"/>
    </row>
    <row r="8" spans="1:11" x14ac:dyDescent="0.25">
      <c r="B8" s="72" t="s">
        <v>51</v>
      </c>
      <c r="C8" s="73">
        <v>2.5720000000000001</v>
      </c>
      <c r="D8" s="68">
        <v>150.30000000000001</v>
      </c>
      <c r="E8" s="68">
        <v>0.62</v>
      </c>
      <c r="F8" s="68">
        <v>152.52700000000002</v>
      </c>
      <c r="G8" s="68">
        <v>1.319</v>
      </c>
      <c r="H8" s="68">
        <v>1.18</v>
      </c>
      <c r="I8" s="104">
        <v>15221836</v>
      </c>
      <c r="J8" s="98">
        <v>128500000</v>
      </c>
      <c r="K8" s="105"/>
    </row>
    <row r="9" spans="1:11" x14ac:dyDescent="0.25">
      <c r="B9" s="72" t="s">
        <v>52</v>
      </c>
      <c r="C9" s="73">
        <v>3.552</v>
      </c>
      <c r="D9" s="68">
        <v>154.4</v>
      </c>
      <c r="E9" s="68">
        <v>0.66900000000000004</v>
      </c>
      <c r="F9" s="68">
        <v>159.923</v>
      </c>
      <c r="G9" s="68">
        <v>1.45</v>
      </c>
      <c r="H9" s="68">
        <v>1.6480000000000001</v>
      </c>
      <c r="I9" s="104">
        <v>98881236</v>
      </c>
      <c r="J9" s="98">
        <v>450000000</v>
      </c>
      <c r="K9" s="105"/>
    </row>
    <row r="10" spans="1:11" x14ac:dyDescent="0.25">
      <c r="B10" s="70" t="s">
        <v>53</v>
      </c>
      <c r="C10" s="97">
        <v>5.2649999999999997</v>
      </c>
      <c r="D10" s="71">
        <v>145.30000000000001</v>
      </c>
      <c r="E10" s="71">
        <v>0.71699999999999997</v>
      </c>
      <c r="F10" s="71">
        <v>159.971</v>
      </c>
      <c r="G10" s="71">
        <v>1.6520000000000001</v>
      </c>
      <c r="H10" s="71">
        <v>2.5750000000000002</v>
      </c>
      <c r="I10" s="99">
        <v>41060085</v>
      </c>
      <c r="J10" s="96">
        <v>275000000</v>
      </c>
      <c r="K10" s="105"/>
    </row>
    <row r="11" spans="1:11" x14ac:dyDescent="0.25">
      <c r="B11" s="72" t="s">
        <v>54</v>
      </c>
      <c r="C11" s="73">
        <v>6.89</v>
      </c>
      <c r="D11" s="68">
        <v>117.80000000000001</v>
      </c>
      <c r="E11" s="68">
        <v>0.50600000000000001</v>
      </c>
      <c r="F11" s="68">
        <v>142.864</v>
      </c>
      <c r="G11" s="68">
        <v>2.427</v>
      </c>
      <c r="H11" s="68">
        <v>3.9670000000000001</v>
      </c>
      <c r="I11" s="104">
        <v>30072552</v>
      </c>
      <c r="J11" s="98">
        <v>30000000</v>
      </c>
      <c r="K11" s="105"/>
    </row>
    <row r="12" spans="1:11" x14ac:dyDescent="0.25">
      <c r="B12" s="72" t="s">
        <v>55</v>
      </c>
      <c r="C12" s="73">
        <v>7.7460000000000004</v>
      </c>
      <c r="D12" s="68">
        <v>111.7</v>
      </c>
      <c r="E12" s="68">
        <v>0.56900000000000006</v>
      </c>
      <c r="F12" s="68">
        <v>142.92699999999999</v>
      </c>
      <c r="G12" s="68">
        <v>2.8820000000000001</v>
      </c>
      <c r="H12" s="68">
        <v>4.4729999999999999</v>
      </c>
      <c r="I12" s="104">
        <v>3748308</v>
      </c>
      <c r="J12" s="98">
        <v>6594421</v>
      </c>
      <c r="K12" s="105"/>
    </row>
    <row r="13" spans="1:11" x14ac:dyDescent="0.25">
      <c r="B13" s="72" t="s">
        <v>56</v>
      </c>
      <c r="C13" s="73">
        <v>2.1030000000000002</v>
      </c>
      <c r="D13" s="68">
        <v>384</v>
      </c>
      <c r="E13" s="68">
        <v>5.1859999999999999</v>
      </c>
      <c r="F13" s="68">
        <v>372.71</v>
      </c>
      <c r="G13" s="68">
        <v>3.8810000000000002</v>
      </c>
      <c r="H13" s="68">
        <v>1.573</v>
      </c>
      <c r="I13" s="104">
        <v>30929</v>
      </c>
      <c r="J13" s="98">
        <v>26835616</v>
      </c>
      <c r="K13" s="105"/>
    </row>
    <row r="14" spans="1:11" x14ac:dyDescent="0.25">
      <c r="B14" s="70" t="s">
        <v>57</v>
      </c>
      <c r="C14" s="97">
        <v>5.3220000000000001</v>
      </c>
      <c r="D14" s="71">
        <v>342</v>
      </c>
      <c r="E14" s="71">
        <v>2.9910000000000001</v>
      </c>
      <c r="F14" s="71">
        <v>357.13600000000002</v>
      </c>
      <c r="G14" s="71">
        <v>4.1790000000000003</v>
      </c>
      <c r="H14" s="71">
        <v>3.4290000000000003</v>
      </c>
      <c r="I14" s="99">
        <v>4364</v>
      </c>
      <c r="J14" s="96">
        <v>104250000</v>
      </c>
      <c r="K14" s="105"/>
    </row>
    <row r="15" spans="1:11" x14ac:dyDescent="0.25">
      <c r="B15" s="72" t="s">
        <v>58</v>
      </c>
      <c r="C15" s="73">
        <v>8.6270000000000007</v>
      </c>
      <c r="D15" s="68">
        <v>2409</v>
      </c>
      <c r="E15" s="68">
        <v>5.8970000000000002</v>
      </c>
      <c r="F15" s="68">
        <v>2806.819</v>
      </c>
      <c r="G15" s="68">
        <v>6.7949999999999999</v>
      </c>
      <c r="H15" s="68">
        <v>5.6559999999999997</v>
      </c>
      <c r="I15" s="104">
        <v>1692347</v>
      </c>
      <c r="J15" s="98">
        <v>6900000</v>
      </c>
      <c r="K15" s="105"/>
    </row>
    <row r="16" spans="1:11" x14ac:dyDescent="0.25">
      <c r="B16" s="72" t="s">
        <v>59</v>
      </c>
      <c r="C16" s="73">
        <v>10.872</v>
      </c>
      <c r="D16" s="68">
        <v>909</v>
      </c>
      <c r="E16" s="68">
        <v>11.169</v>
      </c>
      <c r="F16" s="68">
        <v>2216.73</v>
      </c>
      <c r="G16" s="68">
        <v>4.3479999999999999</v>
      </c>
      <c r="H16" s="68">
        <v>9.4420000000000002</v>
      </c>
      <c r="I16" s="104">
        <v>352478</v>
      </c>
      <c r="J16" s="98">
        <v>5000000</v>
      </c>
      <c r="K16" s="105"/>
    </row>
    <row r="17" spans="2:13" s="101" customFormat="1" x14ac:dyDescent="0.25">
      <c r="B17" s="74" t="s">
        <v>60</v>
      </c>
      <c r="C17" s="75">
        <v>9.9420000000000002</v>
      </c>
      <c r="D17" s="102">
        <v>1370</v>
      </c>
      <c r="E17" s="102">
        <v>3.661</v>
      </c>
      <c r="F17" s="102">
        <v>3066.2860000000001</v>
      </c>
      <c r="G17" s="102">
        <v>7.4190000000000005</v>
      </c>
      <c r="H17" s="102">
        <v>10.842000000000001</v>
      </c>
      <c r="I17" s="103">
        <v>69566</v>
      </c>
      <c r="J17" s="100">
        <v>985000</v>
      </c>
      <c r="K17" s="106" t="s">
        <v>61</v>
      </c>
    </row>
    <row r="18" spans="2:13" x14ac:dyDescent="0.25">
      <c r="B18" s="66"/>
      <c r="C18" s="64"/>
      <c r="D18" s="64"/>
      <c r="E18" s="64"/>
      <c r="F18" s="69"/>
      <c r="G18" s="69"/>
      <c r="H18" s="69"/>
      <c r="I18" s="69"/>
      <c r="J18" s="69"/>
      <c r="M18" s="105"/>
    </row>
    <row r="19" spans="2:13" s="101" customFormat="1" x14ac:dyDescent="0.25">
      <c r="B19" s="94" t="s">
        <v>67</v>
      </c>
      <c r="C19" s="95"/>
      <c r="D19" s="95"/>
      <c r="E19" s="95"/>
      <c r="F19" s="95"/>
      <c r="G19" s="95"/>
      <c r="H19" s="95"/>
      <c r="I19" s="95"/>
      <c r="J19" s="93"/>
    </row>
    <row r="20" spans="2:13" ht="5.25" customHeight="1" x14ac:dyDescent="0.25">
      <c r="B20" s="66"/>
      <c r="C20" s="64"/>
      <c r="D20" s="64"/>
      <c r="E20" s="64"/>
      <c r="F20" s="69"/>
      <c r="G20" s="69"/>
      <c r="H20" s="69"/>
      <c r="I20" s="69"/>
      <c r="J20" s="69"/>
    </row>
    <row r="21" spans="2:13" x14ac:dyDescent="0.25">
      <c r="B21" s="77" t="s">
        <v>66</v>
      </c>
      <c r="C21" s="77" t="s">
        <v>63</v>
      </c>
      <c r="D21" s="77" t="s">
        <v>62</v>
      </c>
      <c r="G21" s="77" t="s">
        <v>66</v>
      </c>
      <c r="H21" s="77" t="s">
        <v>63</v>
      </c>
      <c r="I21" s="77" t="s">
        <v>62</v>
      </c>
    </row>
    <row r="22" spans="2:13" x14ac:dyDescent="0.25">
      <c r="B22" s="78" t="s">
        <v>50</v>
      </c>
      <c r="C22" s="79">
        <v>0.66900000000000004</v>
      </c>
      <c r="D22" s="80">
        <v>2.3740000000000001</v>
      </c>
      <c r="G22" s="78"/>
      <c r="H22" s="79"/>
      <c r="I22" s="80"/>
    </row>
    <row r="23" spans="2:13" x14ac:dyDescent="0.25">
      <c r="B23" s="78" t="s">
        <v>51</v>
      </c>
      <c r="C23" s="79">
        <v>1.18</v>
      </c>
      <c r="D23" s="80">
        <v>2.5720000000000001</v>
      </c>
      <c r="G23" s="78" t="s">
        <v>50</v>
      </c>
      <c r="H23" s="79">
        <v>0.66900000000000004</v>
      </c>
      <c r="I23" s="80">
        <v>2.3740000000000001</v>
      </c>
    </row>
    <row r="24" spans="2:13" x14ac:dyDescent="0.25">
      <c r="B24" s="78" t="s">
        <v>56</v>
      </c>
      <c r="C24" s="79">
        <v>1.573</v>
      </c>
      <c r="D24" s="80">
        <v>2.1030000000000002</v>
      </c>
      <c r="G24" s="78" t="s">
        <v>51</v>
      </c>
      <c r="H24" s="79">
        <v>1.18</v>
      </c>
      <c r="I24" s="80">
        <v>2.5720000000000001</v>
      </c>
    </row>
    <row r="25" spans="2:13" x14ac:dyDescent="0.25">
      <c r="B25" s="78" t="s">
        <v>52</v>
      </c>
      <c r="C25" s="79">
        <v>1.6480000000000001</v>
      </c>
      <c r="D25" s="80">
        <v>3.552</v>
      </c>
      <c r="G25" s="78" t="s">
        <v>56</v>
      </c>
      <c r="H25" s="79">
        <v>1.573</v>
      </c>
      <c r="I25" s="80">
        <v>2.1030000000000002</v>
      </c>
    </row>
    <row r="26" spans="2:13" x14ac:dyDescent="0.25">
      <c r="B26" s="78" t="s">
        <v>53</v>
      </c>
      <c r="C26" s="79">
        <v>2.5750000000000002</v>
      </c>
      <c r="D26" s="80">
        <v>5.2649999999999997</v>
      </c>
      <c r="G26" s="78" t="s">
        <v>52</v>
      </c>
      <c r="H26" s="79">
        <v>1.6480000000000001</v>
      </c>
      <c r="I26" s="80">
        <v>3.552</v>
      </c>
    </row>
    <row r="27" spans="2:13" x14ac:dyDescent="0.25">
      <c r="B27" s="78" t="s">
        <v>57</v>
      </c>
      <c r="C27" s="79">
        <v>3.4290000000000003</v>
      </c>
      <c r="D27" s="80">
        <v>5.3220000000000001</v>
      </c>
      <c r="G27" s="78" t="s">
        <v>53</v>
      </c>
      <c r="H27" s="79">
        <v>2.58</v>
      </c>
      <c r="I27" s="80">
        <v>5.27</v>
      </c>
      <c r="J27" s="63" t="s">
        <v>68</v>
      </c>
    </row>
    <row r="28" spans="2:13" x14ac:dyDescent="0.25">
      <c r="B28" s="78" t="s">
        <v>54</v>
      </c>
      <c r="C28" s="79">
        <v>3.9670000000000001</v>
      </c>
      <c r="D28" s="80">
        <v>6.89</v>
      </c>
      <c r="G28" s="78" t="s">
        <v>54</v>
      </c>
      <c r="H28" s="79">
        <v>3.9670000000000001</v>
      </c>
      <c r="I28" s="80">
        <v>6.89</v>
      </c>
    </row>
    <row r="29" spans="2:13" x14ac:dyDescent="0.25">
      <c r="B29" s="78" t="s">
        <v>55</v>
      </c>
      <c r="C29" s="79">
        <v>4.4729999999999999</v>
      </c>
      <c r="D29" s="80">
        <v>7.7460000000000004</v>
      </c>
      <c r="G29" s="78" t="s">
        <v>55</v>
      </c>
      <c r="H29" s="79">
        <v>4.4729999999999999</v>
      </c>
      <c r="I29" s="80">
        <v>7.7460000000000004</v>
      </c>
    </row>
    <row r="30" spans="2:13" x14ac:dyDescent="0.25">
      <c r="B30" s="78" t="s">
        <v>58</v>
      </c>
      <c r="C30" s="79">
        <v>5.6559999999999997</v>
      </c>
      <c r="D30" s="80">
        <v>8.6270000000000007</v>
      </c>
      <c r="G30" s="78" t="s">
        <v>58</v>
      </c>
      <c r="H30" s="79">
        <v>5.6559999999999997</v>
      </c>
      <c r="I30" s="80">
        <v>8.6270000000000007</v>
      </c>
    </row>
    <row r="31" spans="2:13" x14ac:dyDescent="0.25">
      <c r="B31" s="78" t="s">
        <v>59</v>
      </c>
      <c r="C31" s="79">
        <v>9.4420000000000002</v>
      </c>
      <c r="D31" s="80">
        <v>10.872</v>
      </c>
      <c r="G31" s="78" t="s">
        <v>59</v>
      </c>
      <c r="H31" s="79">
        <v>9.4420000000000002</v>
      </c>
      <c r="I31" s="80">
        <v>10.872</v>
      </c>
    </row>
    <row r="32" spans="2:13" s="101" customFormat="1" x14ac:dyDescent="0.25">
      <c r="B32" s="84" t="s">
        <v>60</v>
      </c>
      <c r="C32" s="85">
        <v>10.842000000000001</v>
      </c>
      <c r="D32" s="86">
        <v>9.9420000000000002</v>
      </c>
      <c r="G32" s="84" t="s">
        <v>60</v>
      </c>
      <c r="H32" s="85">
        <v>10.842000000000001</v>
      </c>
      <c r="I32" s="86">
        <v>9.9420000000000002</v>
      </c>
    </row>
    <row r="57" spans="3:14" x14ac:dyDescent="0.25">
      <c r="C57" s="112"/>
      <c r="D57" s="113" t="s">
        <v>63</v>
      </c>
      <c r="E57" s="113" t="s">
        <v>29</v>
      </c>
    </row>
    <row r="58" spans="3:14" x14ac:dyDescent="0.25">
      <c r="C58" s="114" t="s">
        <v>71</v>
      </c>
      <c r="D58" s="115" t="e">
        <f>GEMSA!#REF!</f>
        <v>#REF!</v>
      </c>
      <c r="E58" s="116" t="e">
        <f>3.4344*LN(D58)+2.1455</f>
        <v>#REF!</v>
      </c>
      <c r="L58" s="112"/>
      <c r="M58" s="113" t="s">
        <v>63</v>
      </c>
      <c r="N58" s="113" t="s">
        <v>29</v>
      </c>
    </row>
    <row r="59" spans="3:14" x14ac:dyDescent="0.25">
      <c r="L59" s="114" t="s">
        <v>71</v>
      </c>
      <c r="M59" s="115" t="e">
        <f>GEMSA!#REF!</f>
        <v>#REF!</v>
      </c>
      <c r="N59" s="116" t="e">
        <f>3.4543*LN(M59)+2.2291</f>
        <v>#REF!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topLeftCell="A16" workbookViewId="0">
      <selection activeCell="C28" sqref="C28"/>
    </sheetView>
  </sheetViews>
  <sheetFormatPr baseColWidth="10" defaultColWidth="11.44140625" defaultRowHeight="12" x14ac:dyDescent="0.25"/>
  <cols>
    <col min="1" max="1" width="1.88671875" style="63" customWidth="1"/>
    <col min="2" max="2" width="10.5546875" style="63" customWidth="1"/>
    <col min="3" max="3" width="9" style="63" customWidth="1"/>
    <col min="4" max="8" width="9.33203125" style="63" customWidth="1"/>
    <col min="9" max="10" width="10.88671875" style="63" customWidth="1"/>
    <col min="11" max="16384" width="11.44140625" style="63"/>
  </cols>
  <sheetData>
    <row r="1" spans="1:11" ht="5.25" customHeight="1" x14ac:dyDescent="0.25"/>
    <row r="2" spans="1:11" x14ac:dyDescent="0.25">
      <c r="A2" s="65"/>
      <c r="B2" s="109" t="s">
        <v>64</v>
      </c>
      <c r="C2" s="109"/>
      <c r="D2" s="109"/>
      <c r="E2" s="109"/>
      <c r="F2" s="109"/>
      <c r="G2" s="109"/>
      <c r="H2" s="109"/>
      <c r="I2" s="76"/>
      <c r="J2" s="76"/>
      <c r="K2" s="105"/>
    </row>
    <row r="3" spans="1:11" x14ac:dyDescent="0.25">
      <c r="B3" s="87" t="s">
        <v>35</v>
      </c>
      <c r="C3" s="88" t="s">
        <v>70</v>
      </c>
      <c r="D3" s="89" t="s">
        <v>36</v>
      </c>
      <c r="E3" s="89" t="s">
        <v>37</v>
      </c>
      <c r="F3" s="89" t="s">
        <v>38</v>
      </c>
      <c r="G3" s="89" t="s">
        <v>39</v>
      </c>
      <c r="H3" s="89" t="s">
        <v>40</v>
      </c>
      <c r="I3" s="89" t="s">
        <v>41</v>
      </c>
      <c r="J3" s="87" t="s">
        <v>42</v>
      </c>
      <c r="K3" s="105"/>
    </row>
    <row r="4" spans="1:11" x14ac:dyDescent="0.25">
      <c r="B4" s="90"/>
      <c r="C4" s="110">
        <v>44385</v>
      </c>
      <c r="D4" s="91" t="s">
        <v>44</v>
      </c>
      <c r="E4" s="91" t="s">
        <v>44</v>
      </c>
      <c r="F4" s="92" t="s">
        <v>45</v>
      </c>
      <c r="G4" s="92" t="s">
        <v>46</v>
      </c>
      <c r="H4" s="92" t="s">
        <v>15</v>
      </c>
      <c r="I4" s="92" t="s">
        <v>47</v>
      </c>
      <c r="J4" s="87" t="s">
        <v>48</v>
      </c>
      <c r="K4" s="105"/>
    </row>
    <row r="5" spans="1:11" hidden="1" x14ac:dyDescent="0.25">
      <c r="B5" s="72" t="s">
        <v>43</v>
      </c>
      <c r="C5" s="73">
        <v>0.06</v>
      </c>
      <c r="D5" s="67">
        <v>528.20000000000005</v>
      </c>
      <c r="E5" s="67">
        <v>6.1930000000000005</v>
      </c>
      <c r="F5" s="67">
        <v>527.745</v>
      </c>
      <c r="G5" s="67">
        <v>2.4980000000000002</v>
      </c>
      <c r="H5" s="67">
        <v>2.5000000000000001E-2</v>
      </c>
      <c r="K5" s="105"/>
    </row>
    <row r="6" spans="1:11" hidden="1" x14ac:dyDescent="0.25">
      <c r="B6" s="72" t="s">
        <v>49</v>
      </c>
      <c r="C6" s="73">
        <v>-0.83</v>
      </c>
      <c r="D6" s="68">
        <v>167.70000000000002</v>
      </c>
      <c r="E6" s="68">
        <v>0.73199999999999998</v>
      </c>
      <c r="F6" s="68">
        <v>167.51</v>
      </c>
      <c r="G6" s="68">
        <v>0.999</v>
      </c>
      <c r="H6" s="68">
        <v>6.3E-2</v>
      </c>
      <c r="K6" s="105"/>
    </row>
    <row r="7" spans="1:11" x14ac:dyDescent="0.25">
      <c r="B7" s="72" t="s">
        <v>50</v>
      </c>
      <c r="C7" s="73">
        <v>2.3740000000000001</v>
      </c>
      <c r="D7" s="68">
        <v>159.25</v>
      </c>
      <c r="E7" s="68">
        <v>0.61299999999999999</v>
      </c>
      <c r="F7" s="68">
        <v>160.49299999999999</v>
      </c>
      <c r="G7" s="68">
        <v>1.2090000000000001</v>
      </c>
      <c r="H7" s="68">
        <v>0.66900000000000004</v>
      </c>
      <c r="I7" s="104">
        <v>181921934</v>
      </c>
      <c r="J7" s="98">
        <v>455623172</v>
      </c>
      <c r="K7" s="105"/>
    </row>
    <row r="8" spans="1:11" x14ac:dyDescent="0.25">
      <c r="B8" s="72" t="s">
        <v>51</v>
      </c>
      <c r="C8" s="73">
        <v>2.5720000000000001</v>
      </c>
      <c r="D8" s="68">
        <v>150.30000000000001</v>
      </c>
      <c r="E8" s="68">
        <v>0.62</v>
      </c>
      <c r="F8" s="68">
        <v>152.52700000000002</v>
      </c>
      <c r="G8" s="68">
        <v>1.319</v>
      </c>
      <c r="H8" s="68">
        <v>1.18</v>
      </c>
      <c r="I8" s="104">
        <v>15221836</v>
      </c>
      <c r="J8" s="98">
        <v>128500000</v>
      </c>
      <c r="K8" s="105"/>
    </row>
    <row r="9" spans="1:11" x14ac:dyDescent="0.25">
      <c r="B9" s="72" t="s">
        <v>52</v>
      </c>
      <c r="C9" s="73">
        <v>3.552</v>
      </c>
      <c r="D9" s="68">
        <v>154.4</v>
      </c>
      <c r="E9" s="68">
        <v>0.66900000000000004</v>
      </c>
      <c r="F9" s="68">
        <v>159.923</v>
      </c>
      <c r="G9" s="68">
        <v>1.45</v>
      </c>
      <c r="H9" s="68">
        <v>1.6480000000000001</v>
      </c>
      <c r="I9" s="104">
        <v>98881236</v>
      </c>
      <c r="J9" s="98">
        <v>450000000</v>
      </c>
      <c r="K9" s="105"/>
    </row>
    <row r="10" spans="1:11" x14ac:dyDescent="0.25">
      <c r="B10" s="70" t="s">
        <v>53</v>
      </c>
      <c r="C10" s="97">
        <v>5.2649999999999997</v>
      </c>
      <c r="D10" s="71">
        <v>145.30000000000001</v>
      </c>
      <c r="E10" s="71">
        <v>0.71699999999999997</v>
      </c>
      <c r="F10" s="71">
        <v>159.971</v>
      </c>
      <c r="G10" s="71">
        <v>1.6520000000000001</v>
      </c>
      <c r="H10" s="71">
        <v>2.5750000000000002</v>
      </c>
      <c r="I10" s="99">
        <v>41060085</v>
      </c>
      <c r="J10" s="96">
        <v>275000000</v>
      </c>
      <c r="K10" s="105"/>
    </row>
    <row r="11" spans="1:11" x14ac:dyDescent="0.25">
      <c r="B11" s="72" t="s">
        <v>54</v>
      </c>
      <c r="C11" s="73">
        <v>6.89</v>
      </c>
      <c r="D11" s="68">
        <v>117.80000000000001</v>
      </c>
      <c r="E11" s="68">
        <v>0.50600000000000001</v>
      </c>
      <c r="F11" s="68">
        <v>142.864</v>
      </c>
      <c r="G11" s="68">
        <v>2.427</v>
      </c>
      <c r="H11" s="68">
        <v>3.9670000000000001</v>
      </c>
      <c r="I11" s="104">
        <v>30072552</v>
      </c>
      <c r="J11" s="98">
        <v>30000000</v>
      </c>
      <c r="K11" s="105"/>
    </row>
    <row r="12" spans="1:11" x14ac:dyDescent="0.25">
      <c r="B12" s="72" t="s">
        <v>55</v>
      </c>
      <c r="C12" s="73">
        <v>7.7460000000000004</v>
      </c>
      <c r="D12" s="68">
        <v>111.7</v>
      </c>
      <c r="E12" s="68">
        <v>0.56900000000000006</v>
      </c>
      <c r="F12" s="68">
        <v>142.92699999999999</v>
      </c>
      <c r="G12" s="68">
        <v>2.8820000000000001</v>
      </c>
      <c r="H12" s="68">
        <v>4.4729999999999999</v>
      </c>
      <c r="I12" s="104">
        <v>3748308</v>
      </c>
      <c r="J12" s="98">
        <v>6594421</v>
      </c>
      <c r="K12" s="105"/>
    </row>
    <row r="13" spans="1:11" x14ac:dyDescent="0.25">
      <c r="B13" s="72" t="s">
        <v>56</v>
      </c>
      <c r="C13" s="73">
        <v>2.1030000000000002</v>
      </c>
      <c r="D13" s="68">
        <v>384</v>
      </c>
      <c r="E13" s="68">
        <v>5.1859999999999999</v>
      </c>
      <c r="F13" s="68">
        <v>372.71</v>
      </c>
      <c r="G13" s="68">
        <v>3.8810000000000002</v>
      </c>
      <c r="H13" s="68">
        <v>1.573</v>
      </c>
      <c r="I13" s="104">
        <v>30929</v>
      </c>
      <c r="J13" s="98">
        <v>26835616</v>
      </c>
      <c r="K13" s="105"/>
    </row>
    <row r="14" spans="1:11" x14ac:dyDescent="0.25">
      <c r="B14" s="70" t="s">
        <v>57</v>
      </c>
      <c r="C14" s="97">
        <v>5.3220000000000001</v>
      </c>
      <c r="D14" s="71">
        <v>342</v>
      </c>
      <c r="E14" s="71">
        <v>2.9910000000000001</v>
      </c>
      <c r="F14" s="71">
        <v>357.13600000000002</v>
      </c>
      <c r="G14" s="71">
        <v>4.1790000000000003</v>
      </c>
      <c r="H14" s="71">
        <v>3.4290000000000003</v>
      </c>
      <c r="I14" s="99">
        <v>4364</v>
      </c>
      <c r="J14" s="96">
        <v>104250000</v>
      </c>
      <c r="K14" s="105"/>
    </row>
    <row r="15" spans="1:11" x14ac:dyDescent="0.25">
      <c r="B15" s="72" t="s">
        <v>58</v>
      </c>
      <c r="C15" s="73">
        <v>8.6270000000000007</v>
      </c>
      <c r="D15" s="68">
        <v>2409</v>
      </c>
      <c r="E15" s="68">
        <v>5.8970000000000002</v>
      </c>
      <c r="F15" s="68">
        <v>2806.819</v>
      </c>
      <c r="G15" s="68">
        <v>6.7949999999999999</v>
      </c>
      <c r="H15" s="68">
        <v>5.6559999999999997</v>
      </c>
      <c r="I15" s="104">
        <v>1692347</v>
      </c>
      <c r="J15" s="98">
        <v>6900000</v>
      </c>
      <c r="K15" s="105"/>
    </row>
    <row r="16" spans="1:11" x14ac:dyDescent="0.25">
      <c r="B16" s="72" t="s">
        <v>59</v>
      </c>
      <c r="C16" s="73">
        <v>10.872</v>
      </c>
      <c r="D16" s="68">
        <v>909</v>
      </c>
      <c r="E16" s="68">
        <v>11.169</v>
      </c>
      <c r="F16" s="68">
        <v>2216.73</v>
      </c>
      <c r="G16" s="68">
        <v>4.3479999999999999</v>
      </c>
      <c r="H16" s="68">
        <v>9.4420000000000002</v>
      </c>
      <c r="I16" s="104">
        <v>352478</v>
      </c>
      <c r="J16" s="98">
        <v>5000000</v>
      </c>
      <c r="K16" s="105"/>
    </row>
    <row r="17" spans="2:13" s="101" customFormat="1" x14ac:dyDescent="0.25">
      <c r="B17" s="74" t="s">
        <v>60</v>
      </c>
      <c r="C17" s="75">
        <v>9.9420000000000002</v>
      </c>
      <c r="D17" s="102">
        <v>1370</v>
      </c>
      <c r="E17" s="102">
        <v>3.661</v>
      </c>
      <c r="F17" s="102">
        <v>3066.2860000000001</v>
      </c>
      <c r="G17" s="102">
        <v>7.4190000000000005</v>
      </c>
      <c r="H17" s="102">
        <v>10.842000000000001</v>
      </c>
      <c r="I17" s="103">
        <v>69566</v>
      </c>
      <c r="J17" s="100">
        <v>985000</v>
      </c>
      <c r="K17" s="106" t="s">
        <v>61</v>
      </c>
    </row>
    <row r="18" spans="2:13" x14ac:dyDescent="0.25">
      <c r="B18" s="66"/>
      <c r="C18" s="64"/>
      <c r="D18" s="64"/>
      <c r="E18" s="64"/>
      <c r="F18" s="69"/>
      <c r="G18" s="69"/>
      <c r="H18" s="69"/>
      <c r="I18" s="69"/>
      <c r="J18" s="69"/>
      <c r="M18" s="105"/>
    </row>
    <row r="19" spans="2:13" s="101" customFormat="1" x14ac:dyDescent="0.25">
      <c r="B19" s="94" t="s">
        <v>67</v>
      </c>
      <c r="C19" s="95"/>
      <c r="D19" s="95"/>
      <c r="E19" s="95"/>
      <c r="F19" s="95"/>
      <c r="G19" s="95"/>
      <c r="H19" s="95"/>
      <c r="I19" s="95"/>
      <c r="J19" s="93"/>
    </row>
    <row r="20" spans="2:13" ht="5.25" customHeight="1" x14ac:dyDescent="0.25">
      <c r="B20" s="66"/>
      <c r="C20" s="64"/>
      <c r="D20" s="64"/>
      <c r="E20" s="64"/>
      <c r="F20" s="69"/>
      <c r="G20" s="69"/>
      <c r="H20" s="69"/>
      <c r="I20" s="69"/>
      <c r="J20" s="69"/>
    </row>
    <row r="21" spans="2:13" x14ac:dyDescent="0.25">
      <c r="B21" s="77" t="s">
        <v>66</v>
      </c>
      <c r="C21" s="77" t="s">
        <v>63</v>
      </c>
      <c r="D21" s="77" t="s">
        <v>62</v>
      </c>
      <c r="G21" s="77" t="s">
        <v>66</v>
      </c>
      <c r="H21" s="77" t="s">
        <v>63</v>
      </c>
      <c r="I21" s="77" t="s">
        <v>62</v>
      </c>
    </row>
    <row r="22" spans="2:13" x14ac:dyDescent="0.25">
      <c r="B22" s="78" t="s">
        <v>50</v>
      </c>
      <c r="C22" s="79">
        <v>0.66900000000000004</v>
      </c>
      <c r="D22" s="80">
        <v>2.3740000000000001</v>
      </c>
      <c r="G22" s="78"/>
      <c r="H22" s="79"/>
      <c r="I22" s="80"/>
    </row>
    <row r="23" spans="2:13" x14ac:dyDescent="0.25">
      <c r="B23" s="78" t="s">
        <v>51</v>
      </c>
      <c r="C23" s="79">
        <v>1.18</v>
      </c>
      <c r="D23" s="80">
        <v>2.5720000000000001</v>
      </c>
      <c r="G23" s="78" t="s">
        <v>50</v>
      </c>
      <c r="H23" s="79">
        <v>0.66900000000000004</v>
      </c>
      <c r="I23" s="80">
        <v>2.3740000000000001</v>
      </c>
    </row>
    <row r="24" spans="2:13" x14ac:dyDescent="0.25">
      <c r="B24" s="78" t="s">
        <v>56</v>
      </c>
      <c r="C24" s="79">
        <v>1.573</v>
      </c>
      <c r="D24" s="80">
        <v>2.1030000000000002</v>
      </c>
      <c r="G24" s="78" t="s">
        <v>51</v>
      </c>
      <c r="H24" s="79">
        <v>1.18</v>
      </c>
      <c r="I24" s="80">
        <v>2.5720000000000001</v>
      </c>
    </row>
    <row r="25" spans="2:13" x14ac:dyDescent="0.25">
      <c r="B25" s="78" t="s">
        <v>52</v>
      </c>
      <c r="C25" s="79">
        <v>1.6480000000000001</v>
      </c>
      <c r="D25" s="80">
        <v>3.552</v>
      </c>
      <c r="G25" s="78" t="s">
        <v>56</v>
      </c>
      <c r="H25" s="79">
        <v>1.573</v>
      </c>
      <c r="I25" s="80">
        <v>2.1030000000000002</v>
      </c>
    </row>
    <row r="26" spans="2:13" x14ac:dyDescent="0.25">
      <c r="B26" s="78" t="s">
        <v>53</v>
      </c>
      <c r="C26" s="79">
        <v>2.5750000000000002</v>
      </c>
      <c r="D26" s="80">
        <v>5.2649999999999997</v>
      </c>
      <c r="G26" s="78" t="s">
        <v>52</v>
      </c>
      <c r="H26" s="79">
        <v>1.6480000000000001</v>
      </c>
      <c r="I26" s="80">
        <v>3.552</v>
      </c>
    </row>
    <row r="27" spans="2:13" x14ac:dyDescent="0.25">
      <c r="B27" s="78" t="s">
        <v>57</v>
      </c>
      <c r="C27" s="79">
        <v>3.4290000000000003</v>
      </c>
      <c r="D27" s="80">
        <v>5.3220000000000001</v>
      </c>
      <c r="G27" s="78" t="s">
        <v>53</v>
      </c>
      <c r="H27" s="79">
        <v>2.58</v>
      </c>
      <c r="I27" s="80">
        <v>5.27</v>
      </c>
      <c r="J27" s="63" t="s">
        <v>68</v>
      </c>
    </row>
    <row r="28" spans="2:13" x14ac:dyDescent="0.25">
      <c r="B28" s="81" t="s">
        <v>65</v>
      </c>
      <c r="C28" s="82">
        <f>+GEMSA!D14</f>
        <v>3.8821147945205481</v>
      </c>
      <c r="D28" s="83">
        <f>D27+((C28-C27)/(C29-C27))*(D29-D27)</f>
        <v>6.6426022264093287</v>
      </c>
      <c r="G28" s="81" t="s">
        <v>65</v>
      </c>
      <c r="H28" s="82">
        <f>C28</f>
        <v>3.8821147945205481</v>
      </c>
      <c r="I28" s="83">
        <f>I27+((H28-H27)/(H29-H27))*(I29-I27)</f>
        <v>6.7908550592092913</v>
      </c>
    </row>
    <row r="29" spans="2:13" x14ac:dyDescent="0.25">
      <c r="B29" s="78" t="s">
        <v>54</v>
      </c>
      <c r="C29" s="79">
        <v>3.9670000000000001</v>
      </c>
      <c r="D29" s="80">
        <v>6.89</v>
      </c>
      <c r="G29" s="78" t="s">
        <v>54</v>
      </c>
      <c r="H29" s="79">
        <v>3.9670000000000001</v>
      </c>
      <c r="I29" s="80">
        <v>6.89</v>
      </c>
    </row>
    <row r="30" spans="2:13" x14ac:dyDescent="0.25">
      <c r="B30" s="78" t="s">
        <v>55</v>
      </c>
      <c r="C30" s="79">
        <v>4.4729999999999999</v>
      </c>
      <c r="D30" s="80">
        <v>7.7460000000000004</v>
      </c>
      <c r="G30" s="78" t="s">
        <v>55</v>
      </c>
      <c r="H30" s="79">
        <v>4.4729999999999999</v>
      </c>
      <c r="I30" s="80">
        <v>7.7460000000000004</v>
      </c>
    </row>
    <row r="31" spans="2:13" x14ac:dyDescent="0.25">
      <c r="B31" s="78" t="s">
        <v>58</v>
      </c>
      <c r="C31" s="79">
        <v>5.6559999999999997</v>
      </c>
      <c r="D31" s="80">
        <v>8.6270000000000007</v>
      </c>
      <c r="G31" s="78" t="s">
        <v>58</v>
      </c>
      <c r="H31" s="79">
        <v>5.6559999999999997</v>
      </c>
      <c r="I31" s="80">
        <v>8.6270000000000007</v>
      </c>
    </row>
    <row r="32" spans="2:13" x14ac:dyDescent="0.25">
      <c r="B32" s="78" t="s">
        <v>59</v>
      </c>
      <c r="C32" s="79">
        <v>9.4420000000000002</v>
      </c>
      <c r="D32" s="80">
        <v>10.872</v>
      </c>
      <c r="G32" s="78" t="s">
        <v>59</v>
      </c>
      <c r="H32" s="79">
        <v>9.4420000000000002</v>
      </c>
      <c r="I32" s="80">
        <v>10.872</v>
      </c>
    </row>
    <row r="33" spans="2:9" s="101" customFormat="1" x14ac:dyDescent="0.25">
      <c r="B33" s="84" t="s">
        <v>60</v>
      </c>
      <c r="C33" s="85">
        <v>10.842000000000001</v>
      </c>
      <c r="D33" s="86">
        <v>9.9420000000000002</v>
      </c>
      <c r="G33" s="84" t="s">
        <v>60</v>
      </c>
      <c r="H33" s="85">
        <v>10.842000000000001</v>
      </c>
      <c r="I33" s="86">
        <v>9.9420000000000002</v>
      </c>
    </row>
  </sheetData>
  <sortState ref="B22:D33">
    <sortCondition ref="D22:D33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24"/>
  <sheetViews>
    <sheetView tabSelected="1" zoomScale="110" zoomScaleNormal="110" workbookViewId="0">
      <selection activeCell="G17" sqref="G17"/>
    </sheetView>
  </sheetViews>
  <sheetFormatPr baseColWidth="10" defaultColWidth="11.44140625" defaultRowHeight="12" x14ac:dyDescent="0.3"/>
  <cols>
    <col min="1" max="1" width="1" style="231" customWidth="1"/>
    <col min="2" max="2" width="4.5546875" style="231" customWidth="1"/>
    <col min="3" max="3" width="24.21875" style="231" customWidth="1"/>
    <col min="4" max="4" width="17.5546875" style="232" customWidth="1"/>
    <col min="5" max="5" width="4.21875" style="231" customWidth="1"/>
    <col min="6" max="6" width="22.6640625" style="231" customWidth="1"/>
    <col min="7" max="7" width="16.44140625" style="232" customWidth="1"/>
    <col min="8" max="8" width="4.21875" style="231" customWidth="1"/>
    <col min="9" max="9" width="22.88671875" style="231" customWidth="1"/>
    <col min="10" max="10" width="15.21875" style="231" customWidth="1"/>
    <col min="11" max="16384" width="11.44140625" style="231"/>
  </cols>
  <sheetData>
    <row r="1" spans="2:10" ht="6" customHeight="1" thickBot="1" x14ac:dyDescent="0.35"/>
    <row r="2" spans="2:10" ht="13.5" hidden="1" customHeight="1" x14ac:dyDescent="0.3">
      <c r="B2" s="233"/>
      <c r="C2" s="274"/>
      <c r="D2" s="274"/>
      <c r="E2" s="233"/>
      <c r="F2" s="274" t="s">
        <v>25</v>
      </c>
      <c r="G2" s="274"/>
    </row>
    <row r="3" spans="2:10" ht="12.75" customHeight="1" x14ac:dyDescent="0.3">
      <c r="C3" s="271" t="s">
        <v>74</v>
      </c>
      <c r="D3" s="272"/>
      <c r="F3" s="271" t="s">
        <v>75</v>
      </c>
      <c r="G3" s="272"/>
      <c r="I3" s="271" t="s">
        <v>77</v>
      </c>
      <c r="J3" s="272"/>
    </row>
    <row r="4" spans="2:10" ht="6.75" customHeight="1" x14ac:dyDescent="0.3">
      <c r="C4" s="234"/>
      <c r="D4" s="235"/>
      <c r="F4" s="236"/>
      <c r="G4" s="235"/>
      <c r="I4" s="234"/>
      <c r="J4" s="235"/>
    </row>
    <row r="5" spans="2:10" s="237" customFormat="1" ht="14.4" x14ac:dyDescent="0.3">
      <c r="C5" s="238" t="s">
        <v>23</v>
      </c>
      <c r="D5" s="239">
        <v>44698</v>
      </c>
      <c r="E5" s="240"/>
      <c r="F5" s="238" t="s">
        <v>23</v>
      </c>
      <c r="G5" s="239">
        <f>+D5</f>
        <v>44698</v>
      </c>
      <c r="H5" s="241"/>
      <c r="I5" s="238" t="s">
        <v>23</v>
      </c>
      <c r="J5" s="239">
        <f>+G5</f>
        <v>44698</v>
      </c>
    </row>
    <row r="6" spans="2:10" s="237" customFormat="1" x14ac:dyDescent="0.3">
      <c r="C6" s="238" t="s">
        <v>11</v>
      </c>
      <c r="D6" s="239">
        <v>44704</v>
      </c>
      <c r="E6" s="240"/>
      <c r="F6" s="238" t="s">
        <v>11</v>
      </c>
      <c r="G6" s="239">
        <f>+D6</f>
        <v>44704</v>
      </c>
      <c r="I6" s="238" t="s">
        <v>11</v>
      </c>
      <c r="J6" s="239">
        <f>+G6</f>
        <v>44704</v>
      </c>
    </row>
    <row r="7" spans="2:10" s="237" customFormat="1" ht="13.8" x14ac:dyDescent="0.3">
      <c r="C7" s="242" t="s">
        <v>8</v>
      </c>
      <c r="D7" s="239">
        <f>+'Clase XVII'!E38</f>
        <v>46535</v>
      </c>
      <c r="E7" s="240"/>
      <c r="F7" s="238" t="s">
        <v>8</v>
      </c>
      <c r="G7" s="239">
        <f>+'Clase XVIII'!C5</f>
        <v>46535</v>
      </c>
      <c r="H7" s="243"/>
      <c r="I7" s="242" t="s">
        <v>8</v>
      </c>
      <c r="J7" s="239">
        <f>+'Clase XIX'!C5</f>
        <v>48362</v>
      </c>
    </row>
    <row r="8" spans="2:10" s="237" customFormat="1" ht="14.25" customHeight="1" x14ac:dyDescent="0.3">
      <c r="C8" s="242" t="s">
        <v>17</v>
      </c>
      <c r="D8" s="239" t="s">
        <v>22</v>
      </c>
      <c r="E8" s="240"/>
      <c r="F8" s="238" t="s">
        <v>17</v>
      </c>
      <c r="G8" s="239" t="s">
        <v>22</v>
      </c>
      <c r="I8" s="242" t="s">
        <v>17</v>
      </c>
      <c r="J8" s="239" t="s">
        <v>22</v>
      </c>
    </row>
    <row r="9" spans="2:10" s="237" customFormat="1" x14ac:dyDescent="0.3">
      <c r="C9" s="242" t="s">
        <v>2</v>
      </c>
      <c r="D9" s="244">
        <v>100</v>
      </c>
      <c r="F9" s="242" t="s">
        <v>2</v>
      </c>
      <c r="G9" s="244">
        <v>100</v>
      </c>
      <c r="H9" s="245"/>
      <c r="I9" s="242" t="s">
        <v>2</v>
      </c>
      <c r="J9" s="244">
        <v>100</v>
      </c>
    </row>
    <row r="10" spans="2:10" s="237" customFormat="1" x14ac:dyDescent="0.3">
      <c r="C10" s="242" t="s">
        <v>79</v>
      </c>
      <c r="D10" s="246">
        <v>60</v>
      </c>
      <c r="F10" s="242" t="s">
        <v>79</v>
      </c>
      <c r="G10" s="244">
        <v>60</v>
      </c>
      <c r="I10" s="242" t="s">
        <v>79</v>
      </c>
      <c r="J10" s="246">
        <v>120</v>
      </c>
    </row>
    <row r="11" spans="2:10" s="237" customFormat="1" ht="11.25" customHeight="1" x14ac:dyDescent="0.3">
      <c r="C11" s="242" t="s">
        <v>24</v>
      </c>
      <c r="D11" s="269">
        <v>117.4067</v>
      </c>
      <c r="F11" s="242" t="s">
        <v>76</v>
      </c>
      <c r="G11" s="247">
        <v>118.21</v>
      </c>
      <c r="I11" s="242" t="s">
        <v>24</v>
      </c>
      <c r="J11" s="269">
        <f>+D11</f>
        <v>117.4067</v>
      </c>
    </row>
    <row r="12" spans="2:10" s="237" customFormat="1" x14ac:dyDescent="0.3">
      <c r="C12" s="242" t="s">
        <v>12</v>
      </c>
      <c r="D12" s="248" t="s">
        <v>78</v>
      </c>
      <c r="F12" s="242" t="s">
        <v>12</v>
      </c>
      <c r="G12" s="248" t="str">
        <f>+D12</f>
        <v>A(arg)  Fix SCR</v>
      </c>
      <c r="I12" s="242" t="s">
        <v>12</v>
      </c>
      <c r="J12" s="248" t="str">
        <f>+G12</f>
        <v>A(arg)  Fix SCR</v>
      </c>
    </row>
    <row r="13" spans="2:10" s="237" customFormat="1" x14ac:dyDescent="0.3">
      <c r="C13" s="242" t="s">
        <v>9</v>
      </c>
      <c r="D13" s="249">
        <f>+'Clase XVII'!C13</f>
        <v>3.8607465249430533</v>
      </c>
      <c r="F13" s="242" t="s">
        <v>9</v>
      </c>
      <c r="G13" s="249">
        <f>+'Clase XVIII'!C13</f>
        <v>3.8696967230060513</v>
      </c>
      <c r="I13" s="242" t="s">
        <v>9</v>
      </c>
      <c r="J13" s="249">
        <f>+'Clase XIX'!C14</f>
        <v>7.5770794520547984</v>
      </c>
    </row>
    <row r="14" spans="2:10" s="237" customFormat="1" ht="12.75" customHeight="1" x14ac:dyDescent="0.3">
      <c r="C14" s="242" t="s">
        <v>10</v>
      </c>
      <c r="D14" s="249">
        <f>+'Clase XVII'!C14</f>
        <v>3.8821147945205481</v>
      </c>
      <c r="F14" s="242" t="s">
        <v>10</v>
      </c>
      <c r="G14" s="249">
        <f>+'Clase XVIII'!C14</f>
        <v>3.8821147945205468</v>
      </c>
      <c r="I14" s="242" t="s">
        <v>10</v>
      </c>
      <c r="J14" s="249">
        <f>+'Clase XIX'!C13</f>
        <v>6.9853403953711837</v>
      </c>
    </row>
    <row r="15" spans="2:10" ht="9" customHeight="1" x14ac:dyDescent="0.3">
      <c r="D15" s="250"/>
      <c r="J15" s="250"/>
    </row>
    <row r="16" spans="2:10" ht="12" hidden="1" customHeight="1" x14ac:dyDescent="0.3">
      <c r="C16" s="251" t="s">
        <v>4</v>
      </c>
      <c r="D16" s="252">
        <v>1000000</v>
      </c>
      <c r="F16" s="251" t="s">
        <v>4</v>
      </c>
      <c r="G16" s="252">
        <v>1000000</v>
      </c>
      <c r="I16" s="251" t="s">
        <v>4</v>
      </c>
      <c r="J16" s="252">
        <v>1000000</v>
      </c>
    </row>
    <row r="17" spans="2:10" ht="13.8" x14ac:dyDescent="0.3">
      <c r="C17" s="175" t="s">
        <v>69</v>
      </c>
      <c r="D17" s="270">
        <v>3.5000000000000003E-2</v>
      </c>
      <c r="E17" s="253"/>
      <c r="F17" s="175" t="s">
        <v>69</v>
      </c>
      <c r="G17" s="270">
        <v>0.02</v>
      </c>
      <c r="I17" s="175" t="s">
        <v>69</v>
      </c>
      <c r="J17" s="270">
        <v>6.5000000000000002E-2</v>
      </c>
    </row>
    <row r="18" spans="2:10" ht="3.75" hidden="1" customHeight="1" x14ac:dyDescent="0.3">
      <c r="C18" s="254"/>
      <c r="D18" s="255"/>
      <c r="E18" s="256"/>
      <c r="F18" s="254"/>
      <c r="G18" s="257"/>
      <c r="I18" s="254"/>
      <c r="J18" s="255"/>
    </row>
    <row r="19" spans="2:10" x14ac:dyDescent="0.3">
      <c r="C19" s="258" t="s">
        <v>3</v>
      </c>
      <c r="D19" s="259">
        <f>'Clase XVII'!C11</f>
        <v>3.5382899641990664E-2</v>
      </c>
      <c r="E19" s="260"/>
      <c r="F19" s="258" t="s">
        <v>3</v>
      </c>
      <c r="G19" s="259">
        <f>+'Clase XVIII'!C11</f>
        <v>2.0125016570091251E-2</v>
      </c>
      <c r="I19" s="258" t="s">
        <v>3</v>
      </c>
      <c r="J19" s="259">
        <f>+'Clase XIX'!C11</f>
        <v>6.6606989502906805E-2</v>
      </c>
    </row>
    <row r="20" spans="2:10" s="261" customFormat="1" x14ac:dyDescent="0.3">
      <c r="C20" s="262" t="s">
        <v>72</v>
      </c>
      <c r="D20" s="263">
        <f>+NOMINAL(D19,12)</f>
        <v>3.4821735172124946E-2</v>
      </c>
      <c r="E20" s="264"/>
      <c r="F20" s="262" t="s">
        <v>72</v>
      </c>
      <c r="G20" s="263">
        <f>+'Clase XVIII'!C10</f>
        <v>1.9941736418310541E-2</v>
      </c>
      <c r="I20" s="262" t="s">
        <v>72</v>
      </c>
      <c r="J20" s="263">
        <f>+'Clase XIX'!C10</f>
        <v>6.4656133059703969E-2</v>
      </c>
    </row>
    <row r="21" spans="2:10" s="261" customFormat="1" ht="6.75" customHeight="1" x14ac:dyDescent="0.3">
      <c r="C21" s="265"/>
      <c r="D21" s="266"/>
      <c r="E21" s="264"/>
      <c r="F21" s="265"/>
      <c r="G21" s="266"/>
    </row>
    <row r="22" spans="2:10" x14ac:dyDescent="0.3">
      <c r="C22" s="267" t="s">
        <v>73</v>
      </c>
      <c r="D22" s="266"/>
    </row>
    <row r="23" spans="2:10" ht="23.25" customHeight="1" x14ac:dyDescent="0.3">
      <c r="C23" s="273" t="s">
        <v>5</v>
      </c>
      <c r="D23" s="273"/>
      <c r="E23" s="273"/>
      <c r="F23" s="273"/>
      <c r="G23" s="273"/>
      <c r="H23" s="273"/>
      <c r="I23" s="273"/>
      <c r="J23" s="273"/>
    </row>
    <row r="24" spans="2:10" ht="31.5" customHeight="1" x14ac:dyDescent="0.3">
      <c r="B24" s="268"/>
      <c r="C24" s="273"/>
      <c r="D24" s="273"/>
      <c r="E24" s="273"/>
      <c r="F24" s="273"/>
      <c r="G24" s="273"/>
      <c r="H24" s="273"/>
      <c r="I24" s="273"/>
      <c r="J24" s="273"/>
    </row>
  </sheetData>
  <sheetProtection algorithmName="SHA-512" hashValue="PHPGmy8gsBwpqWczlJxyNZyka04uo4O4Q6NORPJ6UFlXtipGSUBeV33tKDbLT8dn3inG1dDjlA1eDtcnimg0Nw==" saltValue="z4rw7SG8h49B1yrhUVZL7w==" spinCount="100000" sheet="1" objects="1" scenarios="1" selectLockedCells="1"/>
  <mergeCells count="6">
    <mergeCell ref="I3:J3"/>
    <mergeCell ref="C23:J24"/>
    <mergeCell ref="C2:D2"/>
    <mergeCell ref="F2:G2"/>
    <mergeCell ref="F3:G3"/>
    <mergeCell ref="C3:D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6"/>
  <sheetViews>
    <sheetView workbookViewId="0">
      <selection activeCell="B20" sqref="B20:C24"/>
    </sheetView>
  </sheetViews>
  <sheetFormatPr baseColWidth="10" defaultColWidth="14.6640625" defaultRowHeight="12" x14ac:dyDescent="0.3"/>
  <cols>
    <col min="1" max="2" width="14.6640625" style="32"/>
    <col min="3" max="3" width="9.44140625" style="32" customWidth="1"/>
    <col min="4" max="4" width="6.109375" style="33" bestFit="1" customWidth="1"/>
    <col min="5" max="5" width="14.6640625" style="34"/>
    <col min="6" max="6" width="10.33203125" style="34" customWidth="1"/>
    <col min="7" max="7" width="7.6640625" style="34" customWidth="1"/>
    <col min="8" max="11" width="11.33203125" style="34" customWidth="1"/>
    <col min="12" max="12" width="9.33203125" style="34" customWidth="1"/>
    <col min="13" max="13" width="10.44140625" style="34" customWidth="1"/>
    <col min="14" max="16384" width="14.6640625" style="32"/>
  </cols>
  <sheetData>
    <row r="1" spans="1:17" ht="6.75" customHeight="1" x14ac:dyDescent="0.3"/>
    <row r="2" spans="1:17" x14ac:dyDescent="0.3">
      <c r="A2" s="275" t="e">
        <f>GEMSA!#REF!</f>
        <v>#REF!</v>
      </c>
      <c r="B2" s="275"/>
      <c r="C2" s="275"/>
      <c r="D2" s="13" t="s">
        <v>19</v>
      </c>
      <c r="E2" s="41" t="s">
        <v>20</v>
      </c>
      <c r="F2" s="41" t="s">
        <v>21</v>
      </c>
      <c r="G2" s="41" t="s">
        <v>6</v>
      </c>
      <c r="H2" s="41" t="s">
        <v>31</v>
      </c>
      <c r="I2" s="41" t="s">
        <v>33</v>
      </c>
      <c r="J2" s="30" t="s">
        <v>34</v>
      </c>
      <c r="K2" s="41" t="s">
        <v>26</v>
      </c>
      <c r="L2" s="41" t="s">
        <v>0</v>
      </c>
      <c r="M2" s="14" t="s">
        <v>1</v>
      </c>
      <c r="N2" s="11"/>
    </row>
    <row r="3" spans="1:17" x14ac:dyDescent="0.3">
      <c r="A3" s="8" t="s">
        <v>2</v>
      </c>
      <c r="B3" s="8"/>
      <c r="C3" s="8" t="e">
        <f>GEMSA!#REF!</f>
        <v>#REF!</v>
      </c>
      <c r="D3" s="15"/>
      <c r="E3" s="12" t="e">
        <f>+C4</f>
        <v>#REF!</v>
      </c>
      <c r="F3" s="12"/>
      <c r="G3" s="12"/>
      <c r="H3" s="7"/>
      <c r="I3" s="7"/>
      <c r="J3" s="31"/>
      <c r="K3" s="7"/>
      <c r="L3" s="7"/>
      <c r="N3" s="2"/>
    </row>
    <row r="4" spans="1:17" ht="13.8" x14ac:dyDescent="0.3">
      <c r="A4" s="4" t="s">
        <v>7</v>
      </c>
      <c r="B4" s="4"/>
      <c r="C4" s="5" t="e">
        <f>GEMSA!#REF!</f>
        <v>#REF!</v>
      </c>
      <c r="D4" s="17">
        <v>0</v>
      </c>
      <c r="E4" s="5" t="e">
        <f>+E3</f>
        <v>#REF!</v>
      </c>
      <c r="F4" s="9" t="e">
        <f>E4-E3</f>
        <v>#REF!</v>
      </c>
      <c r="G4" s="1"/>
      <c r="H4" s="6"/>
      <c r="I4" s="6">
        <v>100</v>
      </c>
      <c r="J4" s="6"/>
      <c r="K4" s="6"/>
      <c r="L4" s="6"/>
      <c r="M4" s="16" t="e">
        <f>-C3</f>
        <v>#REF!</v>
      </c>
      <c r="N4" s="3"/>
      <c r="O4" s="107" t="e">
        <f>(SUM(O5:O38))/100</f>
        <v>#REF!</v>
      </c>
      <c r="P4" s="35"/>
    </row>
    <row r="5" spans="1:17" ht="13.8" x14ac:dyDescent="0.3">
      <c r="A5" s="4" t="s">
        <v>8</v>
      </c>
      <c r="B5" s="4"/>
      <c r="C5" s="5" t="e">
        <f>+EDATE(C4,60)</f>
        <v>#REF!</v>
      </c>
      <c r="D5" s="50">
        <v>6</v>
      </c>
      <c r="E5" s="5">
        <v>44589</v>
      </c>
      <c r="F5" s="9" t="e">
        <f>E5-$E$3</f>
        <v>#REF!</v>
      </c>
      <c r="G5" s="1" t="e">
        <f>+GEMSA!#REF!</f>
        <v>#REF!</v>
      </c>
      <c r="H5" s="47">
        <v>0</v>
      </c>
      <c r="I5" s="6" t="e">
        <f t="shared" ref="I5:I38" si="0">+I4+K5-J5</f>
        <v>#REF!</v>
      </c>
      <c r="J5" s="6">
        <v>0</v>
      </c>
      <c r="K5" s="47" t="e">
        <f>+YEARFRAC(E4,E5,3)*(G5)*I4</f>
        <v>#REF!</v>
      </c>
      <c r="L5" s="32"/>
      <c r="M5" s="37">
        <f>J5+L5</f>
        <v>0</v>
      </c>
      <c r="N5" s="3"/>
      <c r="O5" s="10" t="e">
        <f t="shared" ref="O5:O16" si="1">+M5/((1+G5)^(F5/$F$38))</f>
        <v>#REF!</v>
      </c>
      <c r="P5" s="35" t="e">
        <f>O5/100</f>
        <v>#REF!</v>
      </c>
      <c r="Q5" s="38"/>
    </row>
    <row r="6" spans="1:17" ht="13.8" x14ac:dyDescent="0.3">
      <c r="A6" s="4" t="s">
        <v>15</v>
      </c>
      <c r="B6" s="4"/>
      <c r="C6" s="62" t="e">
        <f>+SUMPRODUCT(P5:P38,F5:F38)/O4/365</f>
        <v>#REF!</v>
      </c>
      <c r="D6" s="17">
        <f>D5+6</f>
        <v>12</v>
      </c>
      <c r="E6" s="5">
        <f>EDATE(E5,6)</f>
        <v>44770</v>
      </c>
      <c r="F6" s="9" t="e">
        <f t="shared" ref="F6:F38" si="2">E6-$E$3</f>
        <v>#REF!</v>
      </c>
      <c r="G6" s="1" t="e">
        <f>+GEMSA!#REF!</f>
        <v>#REF!</v>
      </c>
      <c r="H6" s="6">
        <v>0</v>
      </c>
      <c r="I6" s="6" t="e">
        <f t="shared" si="0"/>
        <v>#REF!</v>
      </c>
      <c r="J6" s="6">
        <v>0</v>
      </c>
      <c r="K6" s="47" t="e">
        <f t="shared" ref="K6:K9" si="3">+YEARFRAC(E5,E6,3)*(G6)*I5</f>
        <v>#REF!</v>
      </c>
      <c r="L6" s="36"/>
      <c r="M6" s="37">
        <f t="shared" ref="M6:M38" si="4">J6+L6</f>
        <v>0</v>
      </c>
      <c r="N6" s="3"/>
      <c r="O6" s="10" t="e">
        <f t="shared" si="1"/>
        <v>#REF!</v>
      </c>
      <c r="P6" s="35" t="e">
        <f t="shared" ref="P6:P38" si="5">O6/100</f>
        <v>#REF!</v>
      </c>
      <c r="Q6" s="38"/>
    </row>
    <row r="7" spans="1:17" ht="13.8" x14ac:dyDescent="0.3">
      <c r="A7" s="4" t="s">
        <v>16</v>
      </c>
      <c r="B7" s="4" t="e">
        <f>ROUND(C7*365,0)</f>
        <v>#REF!</v>
      </c>
      <c r="C7" s="62" t="e">
        <f>+SUMPRODUCT(F5:F38,M5:M38)/M39/365</f>
        <v>#REF!</v>
      </c>
      <c r="D7" s="17">
        <f t="shared" ref="D7:D8" si="6">D6+6</f>
        <v>18</v>
      </c>
      <c r="E7" s="5">
        <f>EDATE(E6,6)</f>
        <v>44954</v>
      </c>
      <c r="F7" s="9" t="e">
        <f t="shared" si="2"/>
        <v>#REF!</v>
      </c>
      <c r="G7" s="1" t="e">
        <f>+GEMSA!#REF!</f>
        <v>#REF!</v>
      </c>
      <c r="H7" s="6">
        <v>0</v>
      </c>
      <c r="I7" s="6" t="e">
        <f t="shared" si="0"/>
        <v>#REF!</v>
      </c>
      <c r="J7" s="6">
        <v>0</v>
      </c>
      <c r="K7" s="47" t="e">
        <f t="shared" si="3"/>
        <v>#REF!</v>
      </c>
      <c r="L7" s="36"/>
      <c r="M7" s="37">
        <f t="shared" si="4"/>
        <v>0</v>
      </c>
      <c r="N7" s="3"/>
      <c r="O7" s="10" t="e">
        <f t="shared" si="1"/>
        <v>#REF!</v>
      </c>
      <c r="P7" s="35" t="e">
        <f t="shared" si="5"/>
        <v>#REF!</v>
      </c>
      <c r="Q7" s="38"/>
    </row>
    <row r="8" spans="1:17" ht="13.8" x14ac:dyDescent="0.3">
      <c r="D8" s="17">
        <f t="shared" si="6"/>
        <v>24</v>
      </c>
      <c r="E8" s="5">
        <f t="shared" ref="E8" si="7">EDATE(E7,6)</f>
        <v>45135</v>
      </c>
      <c r="F8" s="9" t="e">
        <f t="shared" si="2"/>
        <v>#REF!</v>
      </c>
      <c r="G8" s="1" t="e">
        <f>+GEMSA!#REF!</f>
        <v>#REF!</v>
      </c>
      <c r="H8" s="6">
        <v>0</v>
      </c>
      <c r="I8" s="6" t="e">
        <f t="shared" si="0"/>
        <v>#REF!</v>
      </c>
      <c r="J8" s="6">
        <v>0</v>
      </c>
      <c r="K8" s="47" t="e">
        <f t="shared" si="3"/>
        <v>#REF!</v>
      </c>
      <c r="L8" s="36"/>
      <c r="M8" s="37">
        <f t="shared" si="4"/>
        <v>0</v>
      </c>
      <c r="N8" s="3"/>
      <c r="O8" s="10" t="e">
        <f t="shared" si="1"/>
        <v>#REF!</v>
      </c>
      <c r="P8" s="35" t="e">
        <f t="shared" si="5"/>
        <v>#REF!</v>
      </c>
      <c r="Q8" s="38"/>
    </row>
    <row r="9" spans="1:17" ht="13.8" x14ac:dyDescent="0.3">
      <c r="A9" s="45" t="s">
        <v>30</v>
      </c>
      <c r="B9" s="45"/>
      <c r="C9" s="1" t="e">
        <f>NOMINAL(C10,B24)</f>
        <v>#REF!</v>
      </c>
      <c r="D9" s="17">
        <v>31</v>
      </c>
      <c r="E9" s="5">
        <f>EDATE(E8,(D9-D8))</f>
        <v>45350</v>
      </c>
      <c r="F9" s="9" t="e">
        <f t="shared" si="2"/>
        <v>#REF!</v>
      </c>
      <c r="G9" s="1" t="e">
        <f>+GEMSA!#REF!</f>
        <v>#REF!</v>
      </c>
      <c r="H9" s="6">
        <v>0</v>
      </c>
      <c r="I9" s="6" t="e">
        <f t="shared" si="0"/>
        <v>#REF!</v>
      </c>
      <c r="J9" s="6">
        <v>0</v>
      </c>
      <c r="K9" s="47" t="e">
        <f t="shared" si="3"/>
        <v>#REF!</v>
      </c>
      <c r="L9" s="36"/>
      <c r="M9" s="37">
        <f t="shared" si="4"/>
        <v>0</v>
      </c>
      <c r="N9" s="3"/>
      <c r="O9" s="10" t="e">
        <f t="shared" si="1"/>
        <v>#REF!</v>
      </c>
      <c r="P9" s="35" t="e">
        <f t="shared" si="5"/>
        <v>#REF!</v>
      </c>
      <c r="Q9" s="38"/>
    </row>
    <row r="10" spans="1:17" ht="13.8" x14ac:dyDescent="0.3">
      <c r="A10" s="46" t="s">
        <v>14</v>
      </c>
      <c r="B10" s="46"/>
      <c r="C10" s="1" t="e">
        <f>XIRR($M$4:$M$38,$E$4:$E$38)</f>
        <v>#REF!</v>
      </c>
      <c r="D10" s="117">
        <v>32</v>
      </c>
      <c r="E10" s="118">
        <v>45379</v>
      </c>
      <c r="F10" s="119" t="e">
        <f t="shared" si="2"/>
        <v>#REF!</v>
      </c>
      <c r="G10" s="120" t="e">
        <f>+GEMSA!#REF!</f>
        <v>#REF!</v>
      </c>
      <c r="H10" s="121">
        <v>4.72</v>
      </c>
      <c r="I10" s="121" t="e">
        <f>I9+K10-J10</f>
        <v>#REF!</v>
      </c>
      <c r="J10" s="121" t="e">
        <f>H10/100*$I$9</f>
        <v>#REF!</v>
      </c>
      <c r="K10" s="121"/>
      <c r="L10" s="122" t="e">
        <f t="shared" ref="L10:L38" si="8">+YEARFRAC(E9,E10,3)*(G10)*I9</f>
        <v>#REF!</v>
      </c>
      <c r="M10" s="123" t="e">
        <f t="shared" si="4"/>
        <v>#REF!</v>
      </c>
      <c r="N10" s="124"/>
      <c r="O10" s="125" t="e">
        <f t="shared" si="1"/>
        <v>#REF!</v>
      </c>
      <c r="P10" s="126" t="e">
        <f t="shared" si="5"/>
        <v>#REF!</v>
      </c>
      <c r="Q10" s="38"/>
    </row>
    <row r="11" spans="1:17" ht="13.8" x14ac:dyDescent="0.3">
      <c r="A11" s="44"/>
      <c r="B11" s="44"/>
      <c r="C11" s="47"/>
      <c r="D11" s="17">
        <f t="shared" ref="D11:D38" si="9">D10+1</f>
        <v>33</v>
      </c>
      <c r="E11" s="5">
        <v>45410</v>
      </c>
      <c r="F11" s="9" t="e">
        <f t="shared" si="2"/>
        <v>#REF!</v>
      </c>
      <c r="G11" s="1" t="e">
        <f>+GEMSA!#REF!</f>
        <v>#REF!</v>
      </c>
      <c r="H11" s="108">
        <v>4.59</v>
      </c>
      <c r="I11" s="6" t="e">
        <f t="shared" si="0"/>
        <v>#REF!</v>
      </c>
      <c r="J11" s="6" t="e">
        <f t="shared" ref="J11:J38" si="10">H11/100*$I$9</f>
        <v>#REF!</v>
      </c>
      <c r="K11" s="6"/>
      <c r="L11" s="36" t="e">
        <f t="shared" si="8"/>
        <v>#REF!</v>
      </c>
      <c r="M11" s="37" t="e">
        <f t="shared" si="4"/>
        <v>#REF!</v>
      </c>
      <c r="N11" s="3"/>
      <c r="O11" s="10" t="e">
        <f t="shared" si="1"/>
        <v>#REF!</v>
      </c>
      <c r="P11" s="35" t="e">
        <f t="shared" si="5"/>
        <v>#REF!</v>
      </c>
      <c r="Q11" s="38"/>
    </row>
    <row r="12" spans="1:17" ht="13.8" x14ac:dyDescent="0.3">
      <c r="A12" s="44"/>
      <c r="B12" s="44"/>
      <c r="C12" s="62"/>
      <c r="D12" s="17">
        <f t="shared" si="9"/>
        <v>34</v>
      </c>
      <c r="E12" s="5">
        <v>45440</v>
      </c>
      <c r="F12" s="9" t="e">
        <f t="shared" si="2"/>
        <v>#REF!</v>
      </c>
      <c r="G12" s="1" t="e">
        <f>+GEMSA!#REF!</f>
        <v>#REF!</v>
      </c>
      <c r="H12" s="108">
        <v>4.7</v>
      </c>
      <c r="I12" s="6" t="e">
        <f t="shared" si="0"/>
        <v>#REF!</v>
      </c>
      <c r="J12" s="6" t="e">
        <f t="shared" si="10"/>
        <v>#REF!</v>
      </c>
      <c r="K12" s="6"/>
      <c r="L12" s="36" t="e">
        <f t="shared" si="8"/>
        <v>#REF!</v>
      </c>
      <c r="M12" s="37" t="e">
        <f t="shared" si="4"/>
        <v>#REF!</v>
      </c>
      <c r="N12" s="3"/>
      <c r="O12" s="10" t="e">
        <f t="shared" si="1"/>
        <v>#REF!</v>
      </c>
      <c r="P12" s="35" t="e">
        <f t="shared" si="5"/>
        <v>#REF!</v>
      </c>
      <c r="Q12" s="38"/>
    </row>
    <row r="13" spans="1:17" ht="13.8" x14ac:dyDescent="0.3">
      <c r="A13" s="44"/>
      <c r="B13" s="44"/>
      <c r="C13" s="44"/>
      <c r="D13" s="17">
        <f t="shared" si="9"/>
        <v>35</v>
      </c>
      <c r="E13" s="5">
        <v>45471</v>
      </c>
      <c r="F13" s="9" t="e">
        <f t="shared" si="2"/>
        <v>#REF!</v>
      </c>
      <c r="G13" s="1" t="e">
        <f>+GEMSA!#REF!</f>
        <v>#REF!</v>
      </c>
      <c r="H13" s="108">
        <v>4.6500000000000004</v>
      </c>
      <c r="I13" s="6" t="e">
        <f t="shared" si="0"/>
        <v>#REF!</v>
      </c>
      <c r="J13" s="6" t="e">
        <f t="shared" si="10"/>
        <v>#REF!</v>
      </c>
      <c r="K13" s="6"/>
      <c r="L13" s="36" t="e">
        <f t="shared" si="8"/>
        <v>#REF!</v>
      </c>
      <c r="M13" s="37" t="e">
        <f t="shared" si="4"/>
        <v>#REF!</v>
      </c>
      <c r="N13" s="3"/>
      <c r="O13" s="10" t="e">
        <f t="shared" si="1"/>
        <v>#REF!</v>
      </c>
      <c r="P13" s="35" t="e">
        <f t="shared" si="5"/>
        <v>#REF!</v>
      </c>
      <c r="Q13" s="38"/>
    </row>
    <row r="14" spans="1:17" ht="13.8" x14ac:dyDescent="0.3">
      <c r="A14" s="46"/>
      <c r="B14" s="46"/>
      <c r="C14" s="48"/>
      <c r="D14" s="17">
        <f t="shared" si="9"/>
        <v>36</v>
      </c>
      <c r="E14" s="5">
        <v>45501</v>
      </c>
      <c r="F14" s="9" t="e">
        <f t="shared" si="2"/>
        <v>#REF!</v>
      </c>
      <c r="G14" s="1" t="e">
        <f>+GEMSA!#REF!</f>
        <v>#REF!</v>
      </c>
      <c r="H14" s="108">
        <v>4.76</v>
      </c>
      <c r="I14" s="6" t="e">
        <f t="shared" si="0"/>
        <v>#REF!</v>
      </c>
      <c r="J14" s="6" t="e">
        <f t="shared" si="10"/>
        <v>#REF!</v>
      </c>
      <c r="K14" s="6"/>
      <c r="L14" s="36" t="e">
        <f t="shared" si="8"/>
        <v>#REF!</v>
      </c>
      <c r="M14" s="37" t="e">
        <f t="shared" si="4"/>
        <v>#REF!</v>
      </c>
      <c r="N14" s="3"/>
      <c r="O14" s="10" t="e">
        <f t="shared" si="1"/>
        <v>#REF!</v>
      </c>
      <c r="P14" s="35" t="e">
        <f t="shared" si="5"/>
        <v>#REF!</v>
      </c>
      <c r="Q14" s="38"/>
    </row>
    <row r="15" spans="1:17" ht="13.8" x14ac:dyDescent="0.3">
      <c r="A15" s="46"/>
      <c r="B15" s="46"/>
      <c r="C15" s="46"/>
      <c r="D15" s="17">
        <f t="shared" si="9"/>
        <v>37</v>
      </c>
      <c r="E15" s="5">
        <v>45532</v>
      </c>
      <c r="F15" s="9" t="e">
        <f t="shared" si="2"/>
        <v>#REF!</v>
      </c>
      <c r="G15" s="1" t="e">
        <f>+GEMSA!#REF!</f>
        <v>#REF!</v>
      </c>
      <c r="H15" s="108">
        <v>4.72</v>
      </c>
      <c r="I15" s="6" t="e">
        <f t="shared" si="0"/>
        <v>#REF!</v>
      </c>
      <c r="J15" s="6" t="e">
        <f t="shared" si="10"/>
        <v>#REF!</v>
      </c>
      <c r="K15" s="6"/>
      <c r="L15" s="36" t="e">
        <f t="shared" si="8"/>
        <v>#REF!</v>
      </c>
      <c r="M15" s="37" t="e">
        <f t="shared" si="4"/>
        <v>#REF!</v>
      </c>
      <c r="N15" s="3"/>
      <c r="O15" s="10" t="e">
        <f t="shared" si="1"/>
        <v>#REF!</v>
      </c>
      <c r="P15" s="35" t="e">
        <f t="shared" si="5"/>
        <v>#REF!</v>
      </c>
      <c r="Q15" s="38"/>
    </row>
    <row r="16" spans="1:17" ht="13.8" x14ac:dyDescent="0.3">
      <c r="A16" s="46"/>
      <c r="B16" s="46"/>
      <c r="C16" s="46"/>
      <c r="D16" s="17">
        <f t="shared" si="9"/>
        <v>38</v>
      </c>
      <c r="E16" s="5">
        <v>45563</v>
      </c>
      <c r="F16" s="9" t="e">
        <f t="shared" si="2"/>
        <v>#REF!</v>
      </c>
      <c r="G16" s="1" t="e">
        <f>+GEMSA!#REF!</f>
        <v>#REF!</v>
      </c>
      <c r="H16" s="108">
        <v>4.75</v>
      </c>
      <c r="I16" s="6" t="e">
        <f t="shared" si="0"/>
        <v>#REF!</v>
      </c>
      <c r="J16" s="6" t="e">
        <f t="shared" si="10"/>
        <v>#REF!</v>
      </c>
      <c r="K16" s="6"/>
      <c r="L16" s="36" t="e">
        <f t="shared" si="8"/>
        <v>#REF!</v>
      </c>
      <c r="M16" s="37" t="e">
        <f t="shared" si="4"/>
        <v>#REF!</v>
      </c>
      <c r="N16" s="3"/>
      <c r="O16" s="10" t="e">
        <f t="shared" si="1"/>
        <v>#REF!</v>
      </c>
      <c r="P16" s="35" t="e">
        <f t="shared" si="5"/>
        <v>#REF!</v>
      </c>
      <c r="Q16" s="38"/>
    </row>
    <row r="17" spans="1:17" ht="13.8" x14ac:dyDescent="0.3">
      <c r="A17" s="49"/>
      <c r="B17" s="49"/>
      <c r="C17" s="49"/>
      <c r="D17" s="17">
        <f t="shared" si="9"/>
        <v>39</v>
      </c>
      <c r="E17" s="5">
        <v>45593</v>
      </c>
      <c r="F17" s="9" t="e">
        <f t="shared" si="2"/>
        <v>#REF!</v>
      </c>
      <c r="G17" s="1" t="e">
        <f>+GEMSA!#REF!</f>
        <v>#REF!</v>
      </c>
      <c r="H17" s="108">
        <v>4.8499999999999996</v>
      </c>
      <c r="I17" s="6" t="e">
        <f t="shared" si="0"/>
        <v>#REF!</v>
      </c>
      <c r="J17" s="6" t="e">
        <f t="shared" si="10"/>
        <v>#REF!</v>
      </c>
      <c r="K17" s="6"/>
      <c r="L17" s="36" t="e">
        <f t="shared" si="8"/>
        <v>#REF!</v>
      </c>
      <c r="M17" s="37" t="e">
        <f t="shared" si="4"/>
        <v>#REF!</v>
      </c>
      <c r="N17" s="3"/>
      <c r="O17" s="10" t="e">
        <f t="shared" ref="O17:O38" si="11">+M17/((1+G17)^(F17/$F$38))</f>
        <v>#REF!</v>
      </c>
      <c r="P17" s="35" t="e">
        <f t="shared" si="5"/>
        <v>#REF!</v>
      </c>
      <c r="Q17" s="38"/>
    </row>
    <row r="18" spans="1:17" ht="13.8" x14ac:dyDescent="0.3">
      <c r="D18" s="17">
        <f t="shared" si="9"/>
        <v>40</v>
      </c>
      <c r="E18" s="5">
        <v>45624</v>
      </c>
      <c r="F18" s="9" t="e">
        <f t="shared" si="2"/>
        <v>#REF!</v>
      </c>
      <c r="G18" s="1" t="e">
        <f>+GEMSA!#REF!</f>
        <v>#REF!</v>
      </c>
      <c r="H18" s="108">
        <v>4.8099999999999996</v>
      </c>
      <c r="I18" s="6" t="e">
        <f t="shared" si="0"/>
        <v>#REF!</v>
      </c>
      <c r="J18" s="6" t="e">
        <f t="shared" si="10"/>
        <v>#REF!</v>
      </c>
      <c r="K18" s="6"/>
      <c r="L18" s="36" t="e">
        <f t="shared" si="8"/>
        <v>#REF!</v>
      </c>
      <c r="M18" s="37" t="e">
        <f t="shared" si="4"/>
        <v>#REF!</v>
      </c>
      <c r="N18" s="3"/>
      <c r="O18" s="10" t="e">
        <f t="shared" si="11"/>
        <v>#REF!</v>
      </c>
      <c r="P18" s="35" t="e">
        <f t="shared" si="5"/>
        <v>#REF!</v>
      </c>
      <c r="Q18" s="38"/>
    </row>
    <row r="19" spans="1:17" ht="13.8" x14ac:dyDescent="0.3">
      <c r="D19" s="17">
        <f t="shared" si="9"/>
        <v>41</v>
      </c>
      <c r="E19" s="5">
        <v>45654</v>
      </c>
      <c r="F19" s="9" t="e">
        <f t="shared" si="2"/>
        <v>#REF!</v>
      </c>
      <c r="G19" s="1" t="e">
        <f>+GEMSA!#REF!</f>
        <v>#REF!</v>
      </c>
      <c r="H19" s="108">
        <v>4.92</v>
      </c>
      <c r="I19" s="6" t="e">
        <f t="shared" si="0"/>
        <v>#REF!</v>
      </c>
      <c r="J19" s="6" t="e">
        <f t="shared" si="10"/>
        <v>#REF!</v>
      </c>
      <c r="K19" s="6"/>
      <c r="L19" s="36" t="e">
        <f t="shared" si="8"/>
        <v>#REF!</v>
      </c>
      <c r="M19" s="37" t="e">
        <f t="shared" si="4"/>
        <v>#REF!</v>
      </c>
      <c r="N19" s="3"/>
      <c r="O19" s="10" t="e">
        <f t="shared" si="11"/>
        <v>#REF!</v>
      </c>
      <c r="P19" s="35" t="e">
        <f t="shared" si="5"/>
        <v>#REF!</v>
      </c>
      <c r="Q19" s="38"/>
    </row>
    <row r="20" spans="1:17" ht="13.8" x14ac:dyDescent="0.3">
      <c r="A20" s="1"/>
      <c r="B20" s="32">
        <v>32</v>
      </c>
      <c r="C20" s="32">
        <v>6</v>
      </c>
      <c r="D20" s="17">
        <f t="shared" si="9"/>
        <v>42</v>
      </c>
      <c r="E20" s="5">
        <v>45685</v>
      </c>
      <c r="F20" s="9" t="e">
        <f t="shared" si="2"/>
        <v>#REF!</v>
      </c>
      <c r="G20" s="1" t="e">
        <f>+GEMSA!#REF!</f>
        <v>#REF!</v>
      </c>
      <c r="H20" s="108">
        <v>4.88</v>
      </c>
      <c r="I20" s="6" t="e">
        <f t="shared" si="0"/>
        <v>#REF!</v>
      </c>
      <c r="J20" s="6" t="e">
        <f t="shared" si="10"/>
        <v>#REF!</v>
      </c>
      <c r="K20" s="6"/>
      <c r="L20" s="36" t="e">
        <f t="shared" si="8"/>
        <v>#REF!</v>
      </c>
      <c r="M20" s="37" t="e">
        <f t="shared" si="4"/>
        <v>#REF!</v>
      </c>
      <c r="N20" s="3"/>
      <c r="O20" s="10" t="e">
        <f t="shared" si="11"/>
        <v>#REF!</v>
      </c>
      <c r="P20" s="35" t="e">
        <f t="shared" si="5"/>
        <v>#REF!</v>
      </c>
      <c r="Q20" s="38"/>
    </row>
    <row r="21" spans="1:17" ht="13.8" x14ac:dyDescent="0.3">
      <c r="B21" s="32">
        <v>29</v>
      </c>
      <c r="C21" s="32">
        <v>12</v>
      </c>
      <c r="D21" s="17">
        <f t="shared" si="9"/>
        <v>43</v>
      </c>
      <c r="E21" s="5">
        <v>45716</v>
      </c>
      <c r="F21" s="9" t="e">
        <f t="shared" si="2"/>
        <v>#REF!</v>
      </c>
      <c r="G21" s="1" t="e">
        <f>+GEMSA!#REF!</f>
        <v>#REF!</v>
      </c>
      <c r="H21" s="108">
        <v>4.91</v>
      </c>
      <c r="I21" s="6" t="e">
        <f t="shared" si="0"/>
        <v>#REF!</v>
      </c>
      <c r="J21" s="6" t="e">
        <f t="shared" si="10"/>
        <v>#REF!</v>
      </c>
      <c r="K21" s="6"/>
      <c r="L21" s="36" t="e">
        <f t="shared" si="8"/>
        <v>#REF!</v>
      </c>
      <c r="M21" s="37" t="e">
        <f t="shared" si="4"/>
        <v>#REF!</v>
      </c>
      <c r="N21" s="3"/>
      <c r="O21" s="10" t="e">
        <f t="shared" si="11"/>
        <v>#REF!</v>
      </c>
      <c r="P21" s="35" t="e">
        <f t="shared" si="5"/>
        <v>#REF!</v>
      </c>
      <c r="Q21" s="38"/>
    </row>
    <row r="22" spans="1:17" ht="13.8" x14ac:dyDescent="0.3">
      <c r="D22" s="17">
        <f t="shared" si="9"/>
        <v>44</v>
      </c>
      <c r="E22" s="5">
        <v>45744</v>
      </c>
      <c r="F22" s="9" t="e">
        <f t="shared" si="2"/>
        <v>#REF!</v>
      </c>
      <c r="G22" s="1" t="e">
        <f>+GEMSA!#REF!</f>
        <v>#REF!</v>
      </c>
      <c r="H22" s="108">
        <v>5.15</v>
      </c>
      <c r="I22" s="6" t="e">
        <f t="shared" si="0"/>
        <v>#REF!</v>
      </c>
      <c r="J22" s="6" t="e">
        <f t="shared" si="10"/>
        <v>#REF!</v>
      </c>
      <c r="K22" s="6"/>
      <c r="L22" s="36" t="e">
        <f t="shared" si="8"/>
        <v>#REF!</v>
      </c>
      <c r="M22" s="37" t="e">
        <f t="shared" si="4"/>
        <v>#REF!</v>
      </c>
      <c r="N22" s="3"/>
      <c r="O22" s="10" t="e">
        <f t="shared" si="11"/>
        <v>#REF!</v>
      </c>
      <c r="P22" s="35" t="e">
        <f t="shared" si="5"/>
        <v>#REF!</v>
      </c>
      <c r="Q22" s="38"/>
    </row>
    <row r="23" spans="1:17" ht="13.8" x14ac:dyDescent="0.3">
      <c r="B23" s="32">
        <f>B20*C20+B21*C21</f>
        <v>540</v>
      </c>
      <c r="D23" s="17">
        <f t="shared" si="9"/>
        <v>45</v>
      </c>
      <c r="E23" s="5">
        <v>45775</v>
      </c>
      <c r="F23" s="9" t="e">
        <f t="shared" si="2"/>
        <v>#REF!</v>
      </c>
      <c r="G23" s="1" t="e">
        <f>+GEMSA!#REF!</f>
        <v>#REF!</v>
      </c>
      <c r="H23" s="108">
        <v>4.9800000000000004</v>
      </c>
      <c r="I23" s="6" t="e">
        <f t="shared" si="0"/>
        <v>#REF!</v>
      </c>
      <c r="J23" s="6" t="e">
        <f t="shared" si="10"/>
        <v>#REF!</v>
      </c>
      <c r="K23" s="6"/>
      <c r="L23" s="36" t="e">
        <f t="shared" si="8"/>
        <v>#REF!</v>
      </c>
      <c r="M23" s="37" t="e">
        <f t="shared" si="4"/>
        <v>#REF!</v>
      </c>
      <c r="N23" s="3"/>
      <c r="O23" s="10" t="e">
        <f t="shared" si="11"/>
        <v>#REF!</v>
      </c>
      <c r="P23" s="35" t="e">
        <f t="shared" si="5"/>
        <v>#REF!</v>
      </c>
      <c r="Q23" s="38"/>
    </row>
    <row r="24" spans="1:17" ht="13.8" x14ac:dyDescent="0.3">
      <c r="B24" s="32">
        <f>B23/(B20+B21)</f>
        <v>8.8524590163934427</v>
      </c>
      <c r="D24" s="17">
        <f t="shared" si="9"/>
        <v>46</v>
      </c>
      <c r="E24" s="5">
        <v>45805</v>
      </c>
      <c r="F24" s="9" t="e">
        <f t="shared" si="2"/>
        <v>#REF!</v>
      </c>
      <c r="G24" s="1" t="e">
        <f>+GEMSA!#REF!</f>
        <v>#REF!</v>
      </c>
      <c r="H24" s="108">
        <v>5.08</v>
      </c>
      <c r="I24" s="6" t="e">
        <f t="shared" si="0"/>
        <v>#REF!</v>
      </c>
      <c r="J24" s="6" t="e">
        <f t="shared" si="10"/>
        <v>#REF!</v>
      </c>
      <c r="K24" s="6"/>
      <c r="L24" s="36" t="e">
        <f t="shared" si="8"/>
        <v>#REF!</v>
      </c>
      <c r="M24" s="37" t="e">
        <f t="shared" si="4"/>
        <v>#REF!</v>
      </c>
      <c r="N24" s="3"/>
      <c r="O24" s="10" t="e">
        <f t="shared" si="11"/>
        <v>#REF!</v>
      </c>
      <c r="P24" s="35" t="e">
        <f t="shared" si="5"/>
        <v>#REF!</v>
      </c>
      <c r="Q24" s="38"/>
    </row>
    <row r="25" spans="1:17" ht="13.8" x14ac:dyDescent="0.3">
      <c r="D25" s="17">
        <f t="shared" si="9"/>
        <v>47</v>
      </c>
      <c r="E25" s="5">
        <v>45836</v>
      </c>
      <c r="F25" s="9" t="e">
        <f t="shared" si="2"/>
        <v>#REF!</v>
      </c>
      <c r="G25" s="1" t="e">
        <f>+GEMSA!#REF!</f>
        <v>#REF!</v>
      </c>
      <c r="H25" s="108">
        <v>5.05</v>
      </c>
      <c r="I25" s="6" t="e">
        <f t="shared" si="0"/>
        <v>#REF!</v>
      </c>
      <c r="J25" s="6" t="e">
        <f t="shared" si="10"/>
        <v>#REF!</v>
      </c>
      <c r="K25" s="6"/>
      <c r="L25" s="36" t="e">
        <f t="shared" si="8"/>
        <v>#REF!</v>
      </c>
      <c r="M25" s="37" t="e">
        <f t="shared" si="4"/>
        <v>#REF!</v>
      </c>
      <c r="N25" s="3"/>
      <c r="O25" s="10" t="e">
        <f t="shared" si="11"/>
        <v>#REF!</v>
      </c>
      <c r="P25" s="35" t="e">
        <f t="shared" si="5"/>
        <v>#REF!</v>
      </c>
      <c r="Q25" s="38"/>
    </row>
    <row r="26" spans="1:17" ht="13.8" x14ac:dyDescent="0.3">
      <c r="D26" s="17">
        <f t="shared" si="9"/>
        <v>48</v>
      </c>
      <c r="E26" s="5">
        <v>45866</v>
      </c>
      <c r="F26" s="9" t="e">
        <f t="shared" si="2"/>
        <v>#REF!</v>
      </c>
      <c r="G26" s="1" t="e">
        <f>+GEMSA!#REF!</f>
        <v>#REF!</v>
      </c>
      <c r="H26" s="108">
        <v>5.15</v>
      </c>
      <c r="I26" s="6" t="e">
        <f t="shared" si="0"/>
        <v>#REF!</v>
      </c>
      <c r="J26" s="6" t="e">
        <f t="shared" si="10"/>
        <v>#REF!</v>
      </c>
      <c r="K26" s="6"/>
      <c r="L26" s="36" t="e">
        <f t="shared" si="8"/>
        <v>#REF!</v>
      </c>
      <c r="M26" s="37" t="e">
        <f t="shared" si="4"/>
        <v>#REF!</v>
      </c>
      <c r="N26" s="3"/>
      <c r="O26" s="10" t="e">
        <f t="shared" si="11"/>
        <v>#REF!</v>
      </c>
      <c r="P26" s="35" t="e">
        <f t="shared" si="5"/>
        <v>#REF!</v>
      </c>
      <c r="Q26" s="38"/>
    </row>
    <row r="27" spans="1:17" ht="13.8" x14ac:dyDescent="0.3">
      <c r="D27" s="17">
        <f t="shared" si="9"/>
        <v>49</v>
      </c>
      <c r="E27" s="5">
        <v>45897</v>
      </c>
      <c r="F27" s="9" t="e">
        <f t="shared" si="2"/>
        <v>#REF!</v>
      </c>
      <c r="G27" s="1" t="e">
        <f>+GEMSA!#REF!</f>
        <v>#REF!</v>
      </c>
      <c r="H27" s="108">
        <v>1.38</v>
      </c>
      <c r="I27" s="6" t="e">
        <f t="shared" si="0"/>
        <v>#REF!</v>
      </c>
      <c r="J27" s="6" t="e">
        <f t="shared" si="10"/>
        <v>#REF!</v>
      </c>
      <c r="K27" s="6"/>
      <c r="L27" s="36" t="e">
        <f t="shared" si="8"/>
        <v>#REF!</v>
      </c>
      <c r="M27" s="37" t="e">
        <f t="shared" si="4"/>
        <v>#REF!</v>
      </c>
      <c r="N27" s="3"/>
      <c r="O27" s="10" t="e">
        <f t="shared" si="11"/>
        <v>#REF!</v>
      </c>
      <c r="P27" s="35" t="e">
        <f t="shared" si="5"/>
        <v>#REF!</v>
      </c>
      <c r="Q27" s="38"/>
    </row>
    <row r="28" spans="1:17" ht="13.8" x14ac:dyDescent="0.3">
      <c r="D28" s="17">
        <f t="shared" si="9"/>
        <v>50</v>
      </c>
      <c r="E28" s="5">
        <v>45928</v>
      </c>
      <c r="F28" s="9" t="e">
        <f t="shared" si="2"/>
        <v>#REF!</v>
      </c>
      <c r="G28" s="1" t="e">
        <f>+GEMSA!#REF!</f>
        <v>#REF!</v>
      </c>
      <c r="H28" s="108">
        <v>1.39</v>
      </c>
      <c r="I28" s="6" t="e">
        <f t="shared" si="0"/>
        <v>#REF!</v>
      </c>
      <c r="J28" s="6" t="e">
        <f t="shared" si="10"/>
        <v>#REF!</v>
      </c>
      <c r="K28" s="6"/>
      <c r="L28" s="36" t="e">
        <f t="shared" si="8"/>
        <v>#REF!</v>
      </c>
      <c r="M28" s="37" t="e">
        <f t="shared" si="4"/>
        <v>#REF!</v>
      </c>
      <c r="N28" s="3"/>
      <c r="O28" s="10" t="e">
        <f t="shared" si="11"/>
        <v>#REF!</v>
      </c>
      <c r="P28" s="35" t="e">
        <f t="shared" si="5"/>
        <v>#REF!</v>
      </c>
      <c r="Q28" s="38"/>
    </row>
    <row r="29" spans="1:17" ht="13.8" x14ac:dyDescent="0.3">
      <c r="D29" s="17">
        <f t="shared" si="9"/>
        <v>51</v>
      </c>
      <c r="E29" s="5">
        <v>45958</v>
      </c>
      <c r="F29" s="9" t="e">
        <f t="shared" si="2"/>
        <v>#REF!</v>
      </c>
      <c r="G29" s="1" t="e">
        <f>+GEMSA!#REF!</f>
        <v>#REF!</v>
      </c>
      <c r="H29" s="108">
        <v>1.42</v>
      </c>
      <c r="I29" s="6" t="e">
        <f t="shared" si="0"/>
        <v>#REF!</v>
      </c>
      <c r="J29" s="6" t="e">
        <f t="shared" si="10"/>
        <v>#REF!</v>
      </c>
      <c r="K29" s="6"/>
      <c r="L29" s="36" t="e">
        <f t="shared" si="8"/>
        <v>#REF!</v>
      </c>
      <c r="M29" s="37" t="e">
        <f t="shared" si="4"/>
        <v>#REF!</v>
      </c>
      <c r="N29" s="3"/>
      <c r="O29" s="10" t="e">
        <f t="shared" si="11"/>
        <v>#REF!</v>
      </c>
      <c r="P29" s="35" t="e">
        <f t="shared" si="5"/>
        <v>#REF!</v>
      </c>
      <c r="Q29" s="38"/>
    </row>
    <row r="30" spans="1:17" ht="13.8" x14ac:dyDescent="0.3">
      <c r="D30" s="17">
        <f t="shared" si="9"/>
        <v>52</v>
      </c>
      <c r="E30" s="5">
        <v>45989</v>
      </c>
      <c r="F30" s="9" t="e">
        <f t="shared" si="2"/>
        <v>#REF!</v>
      </c>
      <c r="G30" s="1" t="e">
        <f>+GEMSA!#REF!</f>
        <v>#REF!</v>
      </c>
      <c r="H30" s="108">
        <v>1.41</v>
      </c>
      <c r="I30" s="6" t="e">
        <f t="shared" si="0"/>
        <v>#REF!</v>
      </c>
      <c r="J30" s="6" t="e">
        <f t="shared" si="10"/>
        <v>#REF!</v>
      </c>
      <c r="K30" s="6"/>
      <c r="L30" s="36" t="e">
        <f t="shared" si="8"/>
        <v>#REF!</v>
      </c>
      <c r="M30" s="37" t="e">
        <f t="shared" si="4"/>
        <v>#REF!</v>
      </c>
      <c r="N30" s="3"/>
      <c r="O30" s="10" t="e">
        <f t="shared" si="11"/>
        <v>#REF!</v>
      </c>
      <c r="P30" s="35" t="e">
        <f t="shared" si="5"/>
        <v>#REF!</v>
      </c>
      <c r="Q30" s="38"/>
    </row>
    <row r="31" spans="1:17" ht="13.8" x14ac:dyDescent="0.3">
      <c r="D31" s="17">
        <f t="shared" si="9"/>
        <v>53</v>
      </c>
      <c r="E31" s="5">
        <v>46019</v>
      </c>
      <c r="F31" s="9" t="e">
        <f t="shared" si="2"/>
        <v>#REF!</v>
      </c>
      <c r="G31" s="1" t="e">
        <f>+GEMSA!#REF!</f>
        <v>#REF!</v>
      </c>
      <c r="H31" s="108">
        <v>1.44</v>
      </c>
      <c r="I31" s="6" t="e">
        <f t="shared" si="0"/>
        <v>#REF!</v>
      </c>
      <c r="J31" s="6" t="e">
        <f t="shared" si="10"/>
        <v>#REF!</v>
      </c>
      <c r="K31" s="6"/>
      <c r="L31" s="36" t="e">
        <f t="shared" si="8"/>
        <v>#REF!</v>
      </c>
      <c r="M31" s="37" t="e">
        <f t="shared" si="4"/>
        <v>#REF!</v>
      </c>
      <c r="N31" s="3"/>
      <c r="O31" s="10" t="e">
        <f t="shared" si="11"/>
        <v>#REF!</v>
      </c>
      <c r="P31" s="35" t="e">
        <f t="shared" si="5"/>
        <v>#REF!</v>
      </c>
      <c r="Q31" s="38"/>
    </row>
    <row r="32" spans="1:17" ht="13.8" x14ac:dyDescent="0.3">
      <c r="D32" s="17">
        <f t="shared" si="9"/>
        <v>54</v>
      </c>
      <c r="E32" s="5">
        <v>46050</v>
      </c>
      <c r="F32" s="9" t="e">
        <f t="shared" si="2"/>
        <v>#REF!</v>
      </c>
      <c r="G32" s="1" t="e">
        <f>+GEMSA!#REF!</f>
        <v>#REF!</v>
      </c>
      <c r="H32" s="108">
        <v>1.43</v>
      </c>
      <c r="I32" s="6" t="e">
        <f t="shared" si="0"/>
        <v>#REF!</v>
      </c>
      <c r="J32" s="6" t="e">
        <f t="shared" si="10"/>
        <v>#REF!</v>
      </c>
      <c r="K32" s="6"/>
      <c r="L32" s="36" t="e">
        <f t="shared" si="8"/>
        <v>#REF!</v>
      </c>
      <c r="M32" s="37" t="e">
        <f t="shared" si="4"/>
        <v>#REF!</v>
      </c>
      <c r="N32" s="3"/>
      <c r="O32" s="10" t="e">
        <f t="shared" si="11"/>
        <v>#REF!</v>
      </c>
      <c r="P32" s="35" t="e">
        <f t="shared" si="5"/>
        <v>#REF!</v>
      </c>
      <c r="Q32" s="38"/>
    </row>
    <row r="33" spans="3:17" ht="13.8" x14ac:dyDescent="0.3">
      <c r="D33" s="17">
        <f t="shared" si="9"/>
        <v>55</v>
      </c>
      <c r="E33" s="5">
        <v>46081</v>
      </c>
      <c r="F33" s="9" t="e">
        <f t="shared" si="2"/>
        <v>#REF!</v>
      </c>
      <c r="G33" s="1" t="e">
        <f>+GEMSA!#REF!</f>
        <v>#REF!</v>
      </c>
      <c r="H33" s="108">
        <v>1.44</v>
      </c>
      <c r="I33" s="6" t="e">
        <f t="shared" si="0"/>
        <v>#REF!</v>
      </c>
      <c r="J33" s="6" t="e">
        <f t="shared" si="10"/>
        <v>#REF!</v>
      </c>
      <c r="K33" s="6"/>
      <c r="L33" s="36" t="e">
        <f t="shared" si="8"/>
        <v>#REF!</v>
      </c>
      <c r="M33" s="37" t="e">
        <f t="shared" si="4"/>
        <v>#REF!</v>
      </c>
      <c r="N33" s="3"/>
      <c r="O33" s="10" t="e">
        <f t="shared" si="11"/>
        <v>#REF!</v>
      </c>
      <c r="P33" s="35" t="e">
        <f t="shared" si="5"/>
        <v>#REF!</v>
      </c>
      <c r="Q33" s="38"/>
    </row>
    <row r="34" spans="3:17" ht="13.8" x14ac:dyDescent="0.3">
      <c r="D34" s="17">
        <f t="shared" si="9"/>
        <v>56</v>
      </c>
      <c r="E34" s="5">
        <v>46109</v>
      </c>
      <c r="F34" s="9" t="e">
        <f t="shared" si="2"/>
        <v>#REF!</v>
      </c>
      <c r="G34" s="1" t="e">
        <f>+GEMSA!#REF!</f>
        <v>#REF!</v>
      </c>
      <c r="H34" s="108">
        <v>1.49</v>
      </c>
      <c r="I34" s="6" t="e">
        <f t="shared" si="0"/>
        <v>#REF!</v>
      </c>
      <c r="J34" s="6" t="e">
        <f t="shared" si="10"/>
        <v>#REF!</v>
      </c>
      <c r="K34" s="6"/>
      <c r="L34" s="36" t="e">
        <f t="shared" si="8"/>
        <v>#REF!</v>
      </c>
      <c r="M34" s="37" t="e">
        <f t="shared" si="4"/>
        <v>#REF!</v>
      </c>
      <c r="N34" s="3"/>
      <c r="O34" s="10" t="e">
        <f t="shared" si="11"/>
        <v>#REF!</v>
      </c>
      <c r="P34" s="35" t="e">
        <f t="shared" si="5"/>
        <v>#REF!</v>
      </c>
      <c r="Q34" s="38"/>
    </row>
    <row r="35" spans="3:17" ht="13.8" x14ac:dyDescent="0.3">
      <c r="D35" s="17">
        <f t="shared" si="9"/>
        <v>57</v>
      </c>
      <c r="E35" s="5">
        <v>46140</v>
      </c>
      <c r="F35" s="9" t="e">
        <f t="shared" si="2"/>
        <v>#REF!</v>
      </c>
      <c r="G35" s="1" t="e">
        <f>+GEMSA!#REF!</f>
        <v>#REF!</v>
      </c>
      <c r="H35" s="108">
        <v>1.46</v>
      </c>
      <c r="I35" s="6" t="e">
        <f t="shared" si="0"/>
        <v>#REF!</v>
      </c>
      <c r="J35" s="6" t="e">
        <f t="shared" si="10"/>
        <v>#REF!</v>
      </c>
      <c r="K35" s="6"/>
      <c r="L35" s="36" t="e">
        <f t="shared" si="8"/>
        <v>#REF!</v>
      </c>
      <c r="M35" s="37" t="e">
        <f t="shared" si="4"/>
        <v>#REF!</v>
      </c>
      <c r="N35" s="3"/>
      <c r="O35" s="10" t="e">
        <f t="shared" si="11"/>
        <v>#REF!</v>
      </c>
      <c r="P35" s="35" t="e">
        <f t="shared" si="5"/>
        <v>#REF!</v>
      </c>
      <c r="Q35" s="38"/>
    </row>
    <row r="36" spans="3:17" ht="13.8" x14ac:dyDescent="0.3">
      <c r="D36" s="17">
        <f t="shared" si="9"/>
        <v>58</v>
      </c>
      <c r="E36" s="5">
        <v>46170</v>
      </c>
      <c r="F36" s="9" t="e">
        <f t="shared" si="2"/>
        <v>#REF!</v>
      </c>
      <c r="G36" s="1" t="e">
        <f>+GEMSA!#REF!</f>
        <v>#REF!</v>
      </c>
      <c r="H36" s="108">
        <v>1.48</v>
      </c>
      <c r="I36" s="6" t="e">
        <f t="shared" si="0"/>
        <v>#REF!</v>
      </c>
      <c r="J36" s="6" t="e">
        <f t="shared" si="10"/>
        <v>#REF!</v>
      </c>
      <c r="K36" s="6"/>
      <c r="L36" s="36" t="e">
        <f t="shared" si="8"/>
        <v>#REF!</v>
      </c>
      <c r="M36" s="37" t="e">
        <f t="shared" si="4"/>
        <v>#REF!</v>
      </c>
      <c r="N36" s="3"/>
      <c r="O36" s="10" t="e">
        <f t="shared" si="11"/>
        <v>#REF!</v>
      </c>
      <c r="P36" s="35" t="e">
        <f t="shared" si="5"/>
        <v>#REF!</v>
      </c>
      <c r="Q36" s="38"/>
    </row>
    <row r="37" spans="3:17" ht="13.8" x14ac:dyDescent="0.3">
      <c r="D37" s="17">
        <f t="shared" si="9"/>
        <v>59</v>
      </c>
      <c r="E37" s="5">
        <v>46201</v>
      </c>
      <c r="F37" s="9" t="e">
        <f t="shared" si="2"/>
        <v>#REF!</v>
      </c>
      <c r="G37" s="1" t="e">
        <f>+GEMSA!#REF!</f>
        <v>#REF!</v>
      </c>
      <c r="H37" s="108">
        <v>1.48</v>
      </c>
      <c r="I37" s="6" t="e">
        <f t="shared" si="0"/>
        <v>#REF!</v>
      </c>
      <c r="J37" s="6" t="e">
        <f t="shared" si="10"/>
        <v>#REF!</v>
      </c>
      <c r="K37" s="6"/>
      <c r="L37" s="36" t="e">
        <f t="shared" si="8"/>
        <v>#REF!</v>
      </c>
      <c r="M37" s="37" t="e">
        <f t="shared" si="4"/>
        <v>#REF!</v>
      </c>
      <c r="N37" s="3"/>
      <c r="O37" s="10" t="e">
        <f t="shared" si="11"/>
        <v>#REF!</v>
      </c>
      <c r="P37" s="35" t="e">
        <f t="shared" si="5"/>
        <v>#REF!</v>
      </c>
      <c r="Q37" s="38"/>
    </row>
    <row r="38" spans="3:17" ht="13.8" x14ac:dyDescent="0.3">
      <c r="D38" s="17">
        <f t="shared" si="9"/>
        <v>60</v>
      </c>
      <c r="E38" s="5">
        <v>46231</v>
      </c>
      <c r="F38" s="9" t="e">
        <f t="shared" si="2"/>
        <v>#REF!</v>
      </c>
      <c r="G38" s="1" t="e">
        <f>+GEMSA!#REF!</f>
        <v>#REF!</v>
      </c>
      <c r="H38" s="108">
        <v>1.51</v>
      </c>
      <c r="I38" s="6" t="e">
        <f t="shared" si="0"/>
        <v>#REF!</v>
      </c>
      <c r="J38" s="42" t="e">
        <f t="shared" si="10"/>
        <v>#REF!</v>
      </c>
      <c r="K38" s="6"/>
      <c r="L38" s="36" t="e">
        <f t="shared" si="8"/>
        <v>#REF!</v>
      </c>
      <c r="M38" s="37" t="e">
        <f t="shared" si="4"/>
        <v>#REF!</v>
      </c>
      <c r="N38" s="3"/>
      <c r="O38" s="10" t="e">
        <f t="shared" si="11"/>
        <v>#REF!</v>
      </c>
      <c r="P38" s="35" t="e">
        <f t="shared" si="5"/>
        <v>#REF!</v>
      </c>
    </row>
    <row r="39" spans="3:17" ht="14.25" customHeight="1" x14ac:dyDescent="0.3">
      <c r="C39" s="111"/>
      <c r="D39" s="18"/>
      <c r="E39" s="19"/>
      <c r="F39" s="20"/>
      <c r="G39" s="21"/>
      <c r="H39" s="22">
        <f>+SUM(H5:H38)</f>
        <v>100</v>
      </c>
      <c r="I39" s="22"/>
      <c r="J39" s="22"/>
      <c r="K39" s="22"/>
      <c r="L39" s="22" t="e">
        <f>+SUM(L5:L38)</f>
        <v>#REF!</v>
      </c>
      <c r="M39" s="22" t="e">
        <f>+SUM(M5:M38)</f>
        <v>#REF!</v>
      </c>
      <c r="O39" s="10"/>
      <c r="P39" s="35"/>
    </row>
    <row r="40" spans="3:17" ht="14.25" customHeight="1" x14ac:dyDescent="0.3">
      <c r="D40" s="17"/>
      <c r="E40" s="5"/>
      <c r="F40" s="9"/>
      <c r="G40" s="1"/>
      <c r="H40" s="6"/>
      <c r="I40" s="6"/>
      <c r="J40" s="6"/>
      <c r="K40" s="6"/>
      <c r="L40" s="36"/>
      <c r="M40" s="37"/>
      <c r="O40" s="10"/>
      <c r="P40" s="35"/>
    </row>
    <row r="41" spans="3:17" ht="14.25" customHeight="1" x14ac:dyDescent="0.3">
      <c r="D41" s="17"/>
      <c r="E41" s="5"/>
      <c r="F41" s="9"/>
      <c r="G41" s="1"/>
      <c r="H41" s="6"/>
      <c r="I41" s="6"/>
      <c r="J41" s="6"/>
      <c r="K41" s="6"/>
      <c r="L41" s="36"/>
      <c r="M41" s="39"/>
      <c r="O41" s="10"/>
      <c r="P41" s="35"/>
    </row>
    <row r="42" spans="3:17" ht="14.25" customHeight="1" x14ac:dyDescent="0.3">
      <c r="D42" s="17"/>
      <c r="E42" s="5"/>
      <c r="F42" s="9"/>
      <c r="G42" s="1"/>
      <c r="H42" s="6"/>
      <c r="I42" s="6"/>
      <c r="J42" s="6"/>
      <c r="K42" s="6"/>
      <c r="L42" s="36"/>
      <c r="M42" s="37"/>
      <c r="O42" s="10"/>
      <c r="P42" s="35"/>
    </row>
    <row r="43" spans="3:17" x14ac:dyDescent="0.3">
      <c r="E43" s="5"/>
      <c r="G43" s="1"/>
    </row>
    <row r="44" spans="3:17" x14ac:dyDescent="0.3">
      <c r="G44" s="1"/>
    </row>
    <row r="45" spans="3:17" x14ac:dyDescent="0.3">
      <c r="D45" s="17"/>
      <c r="E45" s="5"/>
      <c r="F45" s="9"/>
      <c r="G45" s="1"/>
      <c r="H45" s="6"/>
      <c r="I45" s="6"/>
      <c r="J45" s="6"/>
      <c r="K45" s="6"/>
      <c r="L45" s="36"/>
      <c r="M45" s="37"/>
    </row>
    <row r="52" spans="5:7" ht="14.25" customHeight="1" x14ac:dyDescent="0.3"/>
    <row r="53" spans="5:7" ht="14.25" customHeight="1" x14ac:dyDescent="0.3"/>
    <row r="56" spans="5:7" x14ac:dyDescent="0.3">
      <c r="E56" s="40"/>
      <c r="F56" s="40"/>
      <c r="G56" s="40"/>
    </row>
  </sheetData>
  <mergeCells count="1">
    <mergeCell ref="A2:C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9"/>
  <sheetViews>
    <sheetView zoomScaleNormal="100" workbookViewId="0">
      <selection sqref="A1:XFD1048576"/>
    </sheetView>
  </sheetViews>
  <sheetFormatPr baseColWidth="10" defaultColWidth="14.6640625" defaultRowHeight="12" x14ac:dyDescent="0.3"/>
  <cols>
    <col min="1" max="1" width="21.6640625" style="34" bestFit="1" customWidth="1"/>
    <col min="2" max="2" width="10.44140625" style="34" customWidth="1"/>
    <col min="3" max="3" width="8.44140625" style="34" customWidth="1"/>
    <col min="4" max="4" width="4.44140625" style="212" customWidth="1"/>
    <col min="5" max="5" width="9.44140625" style="212" customWidth="1"/>
    <col min="6" max="6" width="6.44140625" style="212" customWidth="1"/>
    <col min="7" max="7" width="8.109375" style="212" customWidth="1"/>
    <col min="8" max="8" width="8.88671875" style="212" customWidth="1"/>
    <col min="9" max="9" width="11.33203125" style="202" customWidth="1"/>
    <col min="10" max="10" width="10.77734375" style="34" customWidth="1"/>
    <col min="11" max="11" width="11.33203125" style="34" customWidth="1"/>
    <col min="12" max="12" width="10.6640625" style="212" customWidth="1"/>
    <col min="13" max="13" width="6.44140625" style="202" customWidth="1"/>
    <col min="14" max="14" width="6.44140625" style="34" customWidth="1"/>
    <col min="15" max="15" width="8.109375" style="167" hidden="1" customWidth="1"/>
    <col min="16" max="16" width="9.88671875" style="167" hidden="1" customWidth="1"/>
    <col min="17" max="16384" width="14.6640625" style="34"/>
  </cols>
  <sheetData>
    <row r="1" spans="1:16" ht="7.2" customHeight="1" x14ac:dyDescent="0.3">
      <c r="D1" s="224"/>
      <c r="E1" s="152"/>
      <c r="F1" s="152"/>
      <c r="G1" s="152"/>
      <c r="H1" s="152"/>
      <c r="I1" s="189"/>
      <c r="J1" s="4"/>
      <c r="K1" s="4"/>
      <c r="L1" s="152"/>
      <c r="M1" s="199"/>
      <c r="N1" s="51"/>
      <c r="O1" s="166"/>
    </row>
    <row r="2" spans="1:16" s="53" customFormat="1" ht="14.25" customHeight="1" x14ac:dyDescent="0.3">
      <c r="A2" s="276" t="str">
        <f>GEMSA!C3</f>
        <v>Dólar Linked / Clase XVII</v>
      </c>
      <c r="B2" s="276"/>
      <c r="C2" s="277"/>
      <c r="D2" s="197" t="s">
        <v>19</v>
      </c>
      <c r="E2" s="30" t="s">
        <v>20</v>
      </c>
      <c r="F2" s="30" t="s">
        <v>21</v>
      </c>
      <c r="G2" s="30" t="s">
        <v>6</v>
      </c>
      <c r="H2" s="30" t="s">
        <v>31</v>
      </c>
      <c r="I2" s="187" t="s">
        <v>32</v>
      </c>
      <c r="J2" s="30" t="s">
        <v>34</v>
      </c>
      <c r="K2" s="30" t="s">
        <v>27</v>
      </c>
      <c r="L2" s="198" t="s">
        <v>0</v>
      </c>
      <c r="M2" s="187" t="s">
        <v>1</v>
      </c>
      <c r="N2" s="52"/>
      <c r="O2" s="168"/>
      <c r="P2" s="168"/>
    </row>
    <row r="3" spans="1:16" ht="15" customHeight="1" x14ac:dyDescent="0.3">
      <c r="A3" s="54" t="s">
        <v>2</v>
      </c>
      <c r="B3" s="54"/>
      <c r="C3" s="221">
        <f>GEMSA!G9</f>
        <v>100</v>
      </c>
      <c r="D3" s="225"/>
      <c r="E3" s="216">
        <f>C4</f>
        <v>44704</v>
      </c>
      <c r="F3" s="31"/>
      <c r="G3" s="31"/>
      <c r="H3" s="31"/>
      <c r="I3" s="188"/>
      <c r="J3" s="43"/>
      <c r="K3" s="43"/>
      <c r="L3" s="200"/>
      <c r="M3" s="200">
        <f>-C3</f>
        <v>-100</v>
      </c>
      <c r="N3" s="56"/>
      <c r="O3" s="169"/>
      <c r="P3" s="169"/>
    </row>
    <row r="4" spans="1:16" ht="15" customHeight="1" x14ac:dyDescent="0.3">
      <c r="A4" s="4" t="s">
        <v>7</v>
      </c>
      <c r="B4" s="4"/>
      <c r="C4" s="5">
        <f>+GEMSA!D6</f>
        <v>44704</v>
      </c>
      <c r="D4" s="222">
        <v>0</v>
      </c>
      <c r="E4" s="217">
        <f>+E3</f>
        <v>44704</v>
      </c>
      <c r="F4" s="214">
        <f>E4-$E$3</f>
        <v>0</v>
      </c>
      <c r="G4" s="208"/>
      <c r="H4" s="213"/>
      <c r="I4" s="27">
        <f>+C3</f>
        <v>100</v>
      </c>
      <c r="J4" s="5"/>
      <c r="K4" s="5"/>
      <c r="L4" s="200"/>
      <c r="M4" s="200"/>
      <c r="N4" s="56"/>
      <c r="O4" s="170">
        <f>(SUM(O5:O38))/100</f>
        <v>1.1135771601240387</v>
      </c>
    </row>
    <row r="5" spans="1:16" ht="15" customHeight="1" x14ac:dyDescent="0.3">
      <c r="A5" s="4" t="s">
        <v>8</v>
      </c>
      <c r="B5" s="4"/>
      <c r="C5" s="5">
        <v>46505</v>
      </c>
      <c r="D5" s="130">
        <v>6</v>
      </c>
      <c r="E5" s="213">
        <f>EDATE($E$4,D5)</f>
        <v>44888</v>
      </c>
      <c r="F5" s="214">
        <f t="shared" ref="F5:F38" si="0">E5-$E$3</f>
        <v>184</v>
      </c>
      <c r="G5" s="209">
        <f>+GEMSA!$D$17</f>
        <v>3.5000000000000003E-2</v>
      </c>
      <c r="H5" s="145">
        <v>0</v>
      </c>
      <c r="I5" s="189">
        <f t="shared" ref="I5:I38" si="1">+I4+K5-J5</f>
        <v>101.76438356164384</v>
      </c>
      <c r="J5" s="189">
        <v>0</v>
      </c>
      <c r="K5" s="27">
        <f>+YEARFRAC(E4,E5,3)*(G5)*I4</f>
        <v>1.7643835616438359</v>
      </c>
      <c r="L5" s="138"/>
      <c r="M5" s="200">
        <f>+L5+J5</f>
        <v>0</v>
      </c>
      <c r="N5" s="56"/>
      <c r="O5" s="171">
        <f t="shared" ref="O5:O36" si="2">+M5/((1+G5)^(F5/$F$38))</f>
        <v>0</v>
      </c>
      <c r="P5" s="167">
        <f>O5/100</f>
        <v>0</v>
      </c>
    </row>
    <row r="6" spans="1:16" ht="15" customHeight="1" x14ac:dyDescent="0.3">
      <c r="A6" s="34" t="str">
        <f>+'Clase XVIII'!A6</f>
        <v>Cupón de Interés</v>
      </c>
      <c r="C6" s="204">
        <f>+GEMSA!D17</f>
        <v>3.5000000000000003E-2</v>
      </c>
      <c r="D6" s="130">
        <v>12</v>
      </c>
      <c r="E6" s="213">
        <f>EDATE($E$4,D6)</f>
        <v>45069</v>
      </c>
      <c r="F6" s="214">
        <f t="shared" si="0"/>
        <v>365</v>
      </c>
      <c r="G6" s="209">
        <f>+GEMSA!$D$17</f>
        <v>3.5000000000000003E-2</v>
      </c>
      <c r="H6" s="145">
        <v>0</v>
      </c>
      <c r="I6" s="189">
        <f t="shared" si="1"/>
        <v>103.53062293113155</v>
      </c>
      <c r="J6" s="189">
        <v>0</v>
      </c>
      <c r="K6" s="27">
        <f t="shared" ref="K6:K9" si="3">+YEARFRAC(E5,E6,3)*(G6)*I5</f>
        <v>1.766239369487709</v>
      </c>
      <c r="L6" s="138"/>
      <c r="M6" s="200">
        <f t="shared" ref="M6:M9" si="4">+L6+J6</f>
        <v>0</v>
      </c>
      <c r="N6" s="56"/>
      <c r="O6" s="171">
        <f t="shared" si="2"/>
        <v>0</v>
      </c>
      <c r="P6" s="167">
        <f t="shared" ref="P6:P9" si="5">O6/100</f>
        <v>0</v>
      </c>
    </row>
    <row r="7" spans="1:16" ht="15" customHeight="1" x14ac:dyDescent="0.3">
      <c r="D7" s="130">
        <v>18</v>
      </c>
      <c r="E7" s="213">
        <f>EDATE($E$4,D7)</f>
        <v>45253</v>
      </c>
      <c r="F7" s="214">
        <f t="shared" si="0"/>
        <v>549</v>
      </c>
      <c r="G7" s="209">
        <f>+GEMSA!$D$17</f>
        <v>3.5000000000000003E-2</v>
      </c>
      <c r="H7" s="145">
        <v>0</v>
      </c>
      <c r="I7" s="189">
        <f t="shared" si="1"/>
        <v>105.3573002233959</v>
      </c>
      <c r="J7" s="189">
        <v>0</v>
      </c>
      <c r="K7" s="27">
        <f t="shared" si="3"/>
        <v>1.8266772922643486</v>
      </c>
      <c r="L7" s="147"/>
      <c r="M7" s="200">
        <f t="shared" si="4"/>
        <v>0</v>
      </c>
      <c r="N7" s="56"/>
      <c r="O7" s="172">
        <f t="shared" si="2"/>
        <v>0</v>
      </c>
      <c r="P7" s="167">
        <f>O7/100</f>
        <v>0</v>
      </c>
    </row>
    <row r="8" spans="1:16" ht="15" customHeight="1" x14ac:dyDescent="0.3">
      <c r="D8" s="130">
        <v>24</v>
      </c>
      <c r="E8" s="213">
        <f>EDATE($E$4,D8)</f>
        <v>45435</v>
      </c>
      <c r="F8" s="214">
        <f t="shared" si="0"/>
        <v>731</v>
      </c>
      <c r="G8" s="209">
        <f>+GEMSA!$D$17</f>
        <v>3.5000000000000003E-2</v>
      </c>
      <c r="H8" s="145">
        <v>0</v>
      </c>
      <c r="I8" s="189">
        <f t="shared" si="1"/>
        <v>107.19600159989736</v>
      </c>
      <c r="J8" s="189">
        <v>0</v>
      </c>
      <c r="K8" s="27">
        <f t="shared" si="3"/>
        <v>1.8387013765014573</v>
      </c>
      <c r="L8" s="147"/>
      <c r="M8" s="200">
        <f t="shared" si="4"/>
        <v>0</v>
      </c>
      <c r="N8" s="56"/>
      <c r="O8" s="172">
        <f t="shared" si="2"/>
        <v>0</v>
      </c>
      <c r="P8" s="167">
        <f t="shared" si="5"/>
        <v>0</v>
      </c>
    </row>
    <row r="9" spans="1:16" ht="15" customHeight="1" x14ac:dyDescent="0.3">
      <c r="D9" s="130">
        <v>31</v>
      </c>
      <c r="E9" s="218">
        <f>EDATE($E$4,D9)</f>
        <v>45649</v>
      </c>
      <c r="F9" s="215">
        <f t="shared" si="0"/>
        <v>945</v>
      </c>
      <c r="G9" s="210">
        <f>+GEMSA!$D$17</f>
        <v>3.5000000000000003E-2</v>
      </c>
      <c r="H9" s="176">
        <v>0</v>
      </c>
      <c r="I9" s="189">
        <f t="shared" si="1"/>
        <v>109.39572229026237</v>
      </c>
      <c r="J9" s="195">
        <v>0</v>
      </c>
      <c r="K9" s="29">
        <f t="shared" si="3"/>
        <v>2.1997206903650173</v>
      </c>
      <c r="L9" s="157"/>
      <c r="M9" s="201">
        <f t="shared" si="4"/>
        <v>0</v>
      </c>
      <c r="N9" s="56"/>
      <c r="O9" s="172">
        <f t="shared" si="2"/>
        <v>0</v>
      </c>
      <c r="P9" s="167">
        <f t="shared" si="5"/>
        <v>0</v>
      </c>
    </row>
    <row r="10" spans="1:16" ht="15" customHeight="1" x14ac:dyDescent="0.3">
      <c r="A10" s="146" t="s">
        <v>30</v>
      </c>
      <c r="B10" s="4"/>
      <c r="C10" s="58">
        <f>+NOMINAL(C11,12)</f>
        <v>3.4821735172124946E-2</v>
      </c>
      <c r="D10" s="223">
        <f>+D9+1</f>
        <v>32</v>
      </c>
      <c r="E10" s="213">
        <v>45685</v>
      </c>
      <c r="F10" s="214">
        <f t="shared" si="0"/>
        <v>981</v>
      </c>
      <c r="G10" s="209">
        <f>+GEMSA!$D$17</f>
        <v>3.5000000000000003E-2</v>
      </c>
      <c r="H10" s="145">
        <v>3.1600000000000003E-2</v>
      </c>
      <c r="I10" s="207">
        <f>+I9+K10-J10</f>
        <v>105.93881746589008</v>
      </c>
      <c r="J10" s="189">
        <f>H10*$I$9</f>
        <v>3.4569048243722911</v>
      </c>
      <c r="K10" s="55"/>
      <c r="L10" s="138">
        <f>+YEARFRAC(E9,E10,3)*(G10)*I9</f>
        <v>0.37764002763213861</v>
      </c>
      <c r="M10" s="200">
        <f t="shared" ref="M10:M38" si="6">+L10+J10</f>
        <v>3.8345448520044298</v>
      </c>
      <c r="N10" s="128"/>
      <c r="O10" s="173">
        <f t="shared" si="2"/>
        <v>3.7645163606760841</v>
      </c>
      <c r="P10" s="174">
        <f t="shared" ref="P10:P38" si="7">O10/100</f>
        <v>3.7645163606760838E-2</v>
      </c>
    </row>
    <row r="11" spans="1:16" ht="15" customHeight="1" x14ac:dyDescent="0.3">
      <c r="A11" s="23" t="s">
        <v>14</v>
      </c>
      <c r="B11" s="57"/>
      <c r="C11" s="58">
        <f>XIRR(M3:M38,E3:E38)</f>
        <v>3.5382899641990664E-2</v>
      </c>
      <c r="D11" s="222">
        <f t="shared" ref="D11:D38" si="8">D10+1</f>
        <v>33</v>
      </c>
      <c r="E11" s="213">
        <f>EDATE(E10,1)</f>
        <v>45716</v>
      </c>
      <c r="F11" s="214">
        <f t="shared" si="0"/>
        <v>1012</v>
      </c>
      <c r="G11" s="209">
        <f>+GEMSA!$D$17</f>
        <v>3.5000000000000003E-2</v>
      </c>
      <c r="H11" s="145">
        <v>3.2599999999999997E-2</v>
      </c>
      <c r="I11" s="189">
        <f t="shared" si="1"/>
        <v>102.37251691922754</v>
      </c>
      <c r="J11" s="189">
        <f t="shared" ref="J11:J38" si="9">H11*$I$9</f>
        <v>3.566300546662553</v>
      </c>
      <c r="K11" s="55"/>
      <c r="L11" s="138">
        <f>+YEARFRAC(E10,E11,3)*(G11)*I10</f>
        <v>0.31491401904244043</v>
      </c>
      <c r="M11" s="200">
        <f t="shared" si="6"/>
        <v>3.8812145657049935</v>
      </c>
      <c r="N11" s="56"/>
      <c r="O11" s="171">
        <f t="shared" si="2"/>
        <v>3.8081151297915099</v>
      </c>
      <c r="P11" s="167">
        <f t="shared" si="7"/>
        <v>3.8081151297915096E-2</v>
      </c>
    </row>
    <row r="12" spans="1:16" ht="15" customHeight="1" x14ac:dyDescent="0.3">
      <c r="D12" s="222">
        <f t="shared" si="8"/>
        <v>34</v>
      </c>
      <c r="E12" s="213">
        <f t="shared" ref="E12:E38" si="10">EDATE(E11,1)</f>
        <v>45744</v>
      </c>
      <c r="F12" s="214">
        <f t="shared" si="0"/>
        <v>1040</v>
      </c>
      <c r="G12" s="209">
        <f>+GEMSA!$D$17</f>
        <v>3.5000000000000003E-2</v>
      </c>
      <c r="H12" s="145">
        <v>3.2099999999999997E-2</v>
      </c>
      <c r="I12" s="189">
        <f t="shared" si="1"/>
        <v>98.860914233710119</v>
      </c>
      <c r="J12" s="189">
        <f t="shared" si="9"/>
        <v>3.5116026855174218</v>
      </c>
      <c r="K12" s="55"/>
      <c r="L12" s="138">
        <f>+YEARFRAC(E11,E12,3)*(G12)*I11</f>
        <v>0.27486319611189863</v>
      </c>
      <c r="M12" s="200">
        <f t="shared" si="6"/>
        <v>3.7864658816293204</v>
      </c>
      <c r="N12" s="56"/>
      <c r="O12" s="171">
        <f t="shared" si="2"/>
        <v>3.7131970308855613</v>
      </c>
      <c r="P12" s="167">
        <f t="shared" si="7"/>
        <v>3.7131970308855615E-2</v>
      </c>
    </row>
    <row r="13" spans="1:16" ht="15" customHeight="1" x14ac:dyDescent="0.3">
      <c r="A13" s="230" t="s">
        <v>15</v>
      </c>
      <c r="B13" s="57"/>
      <c r="C13" s="205">
        <f>+SUMPRODUCT(P5:P38,F5:F38)/O4/365</f>
        <v>3.8607465249430533</v>
      </c>
      <c r="D13" s="222">
        <f t="shared" si="8"/>
        <v>35</v>
      </c>
      <c r="E13" s="213">
        <f t="shared" si="10"/>
        <v>45775</v>
      </c>
      <c r="F13" s="214">
        <f t="shared" si="0"/>
        <v>1071</v>
      </c>
      <c r="G13" s="209">
        <f>+GEMSA!$D$17</f>
        <v>3.5000000000000003E-2</v>
      </c>
      <c r="H13" s="145">
        <v>3.2099999999999997E-2</v>
      </c>
      <c r="I13" s="189">
        <f t="shared" si="1"/>
        <v>95.349311548192702</v>
      </c>
      <c r="J13" s="189">
        <f t="shared" si="9"/>
        <v>3.5116026855174218</v>
      </c>
      <c r="K13" s="55"/>
      <c r="L13" s="138">
        <f t="shared" ref="L13:L38" si="11">+YEARFRAC(E12,E13,3)*(G13)*I12</f>
        <v>0.29387422450294653</v>
      </c>
      <c r="M13" s="200">
        <f t="shared" si="6"/>
        <v>3.8054769100203685</v>
      </c>
      <c r="N13" s="56"/>
      <c r="O13" s="171">
        <f t="shared" si="2"/>
        <v>3.7296672589954079</v>
      </c>
      <c r="P13" s="167">
        <f t="shared" si="7"/>
        <v>3.7296672589954082E-2</v>
      </c>
    </row>
    <row r="14" spans="1:16" ht="15" customHeight="1" x14ac:dyDescent="0.3">
      <c r="A14" s="230" t="s">
        <v>18</v>
      </c>
      <c r="B14" s="59"/>
      <c r="C14" s="205">
        <f>+SUMPRODUCT(F5:F38,J5:J38)/J39/365</f>
        <v>3.8821147945205481</v>
      </c>
      <c r="D14" s="222">
        <f t="shared" si="8"/>
        <v>36</v>
      </c>
      <c r="E14" s="213">
        <f t="shared" si="10"/>
        <v>45805</v>
      </c>
      <c r="F14" s="214">
        <f t="shared" si="0"/>
        <v>1101</v>
      </c>
      <c r="G14" s="209">
        <f>+GEMSA!$D$17</f>
        <v>3.5000000000000003E-2</v>
      </c>
      <c r="H14" s="145">
        <v>3.44E-2</v>
      </c>
      <c r="I14" s="189">
        <f t="shared" si="1"/>
        <v>91.586098701407678</v>
      </c>
      <c r="J14" s="189">
        <f t="shared" si="9"/>
        <v>3.7632128467850254</v>
      </c>
      <c r="K14" s="55"/>
      <c r="L14" s="138">
        <f>+YEARFRAC(E13,E14,3)*(G14)*I13</f>
        <v>0.27429254007014342</v>
      </c>
      <c r="M14" s="200">
        <f t="shared" si="6"/>
        <v>4.0375053868551687</v>
      </c>
      <c r="N14" s="56"/>
      <c r="O14" s="171">
        <f t="shared" si="2"/>
        <v>3.9548436758559848</v>
      </c>
      <c r="P14" s="167">
        <f t="shared" si="7"/>
        <v>3.9548436758559846E-2</v>
      </c>
    </row>
    <row r="15" spans="1:16" ht="15" customHeight="1" x14ac:dyDescent="0.3">
      <c r="D15" s="222">
        <f t="shared" si="8"/>
        <v>37</v>
      </c>
      <c r="E15" s="213">
        <f t="shared" si="10"/>
        <v>45836</v>
      </c>
      <c r="F15" s="214">
        <f t="shared" si="0"/>
        <v>1132</v>
      </c>
      <c r="G15" s="209">
        <f>+GEMSA!$D$17</f>
        <v>3.5000000000000003E-2</v>
      </c>
      <c r="H15" s="145">
        <v>3.2599999999999997E-2</v>
      </c>
      <c r="I15" s="189">
        <f t="shared" si="1"/>
        <v>88.019798154745132</v>
      </c>
      <c r="J15" s="189">
        <f t="shared" si="9"/>
        <v>3.566300546662553</v>
      </c>
      <c r="K15" s="55"/>
      <c r="L15" s="138">
        <f t="shared" si="11"/>
        <v>0.27224908792062286</v>
      </c>
      <c r="M15" s="200">
        <f t="shared" si="6"/>
        <v>3.8385496345831758</v>
      </c>
      <c r="N15" s="56"/>
      <c r="O15" s="171">
        <f t="shared" si="2"/>
        <v>3.7577719293270273</v>
      </c>
      <c r="P15" s="167">
        <f t="shared" si="7"/>
        <v>3.7577719293270272E-2</v>
      </c>
    </row>
    <row r="16" spans="1:16" ht="15" customHeight="1" x14ac:dyDescent="0.3">
      <c r="D16" s="222">
        <f t="shared" si="8"/>
        <v>38</v>
      </c>
      <c r="E16" s="213">
        <f t="shared" si="10"/>
        <v>45866</v>
      </c>
      <c r="F16" s="214">
        <f t="shared" si="0"/>
        <v>1162</v>
      </c>
      <c r="G16" s="209">
        <f>+GEMSA!$D$17</f>
        <v>3.5000000000000003E-2</v>
      </c>
      <c r="H16" s="145">
        <v>3.3300000000000003E-2</v>
      </c>
      <c r="I16" s="189">
        <f t="shared" si="1"/>
        <v>84.376920602479402</v>
      </c>
      <c r="J16" s="189">
        <f t="shared" si="9"/>
        <v>3.6428775522657371</v>
      </c>
      <c r="K16" s="55"/>
      <c r="L16" s="138">
        <f t="shared" si="11"/>
        <v>0.25320763852734901</v>
      </c>
      <c r="M16" s="200">
        <f t="shared" si="6"/>
        <v>3.896085190793086</v>
      </c>
      <c r="N16" s="56"/>
      <c r="O16" s="171">
        <f t="shared" si="2"/>
        <v>3.8119475091509187</v>
      </c>
      <c r="P16" s="167">
        <f t="shared" si="7"/>
        <v>3.8119475091509189E-2</v>
      </c>
    </row>
    <row r="17" spans="1:16" ht="15" customHeight="1" x14ac:dyDescent="0.3">
      <c r="A17" s="60"/>
      <c r="B17" s="60"/>
      <c r="C17" s="60"/>
      <c r="D17" s="222">
        <f t="shared" si="8"/>
        <v>39</v>
      </c>
      <c r="E17" s="213">
        <f t="shared" si="10"/>
        <v>45897</v>
      </c>
      <c r="F17" s="214">
        <f t="shared" si="0"/>
        <v>1193</v>
      </c>
      <c r="G17" s="209">
        <f>+GEMSA!$D$17</f>
        <v>3.5000000000000003E-2</v>
      </c>
      <c r="H17" s="145">
        <v>3.2899999999999999E-2</v>
      </c>
      <c r="I17" s="189">
        <f t="shared" si="1"/>
        <v>80.777801339129766</v>
      </c>
      <c r="J17" s="189">
        <f t="shared" si="9"/>
        <v>3.5991192633496318</v>
      </c>
      <c r="K17" s="55"/>
      <c r="L17" s="138">
        <f t="shared" si="11"/>
        <v>0.25081906535257581</v>
      </c>
      <c r="M17" s="200">
        <f t="shared" si="6"/>
        <v>3.8499383287022075</v>
      </c>
      <c r="N17" s="56"/>
      <c r="O17" s="171">
        <f t="shared" si="2"/>
        <v>3.7646039213839364</v>
      </c>
      <c r="P17" s="167">
        <f t="shared" si="7"/>
        <v>3.7646039213839362E-2</v>
      </c>
    </row>
    <row r="18" spans="1:16" ht="15" customHeight="1" x14ac:dyDescent="0.3">
      <c r="D18" s="222">
        <f t="shared" si="8"/>
        <v>40</v>
      </c>
      <c r="E18" s="213">
        <f t="shared" si="10"/>
        <v>45928</v>
      </c>
      <c r="F18" s="214">
        <f t="shared" si="0"/>
        <v>1224</v>
      </c>
      <c r="G18" s="209">
        <f>+GEMSA!$D$17</f>
        <v>3.5000000000000003E-2</v>
      </c>
      <c r="H18" s="145">
        <v>3.3599999999999998E-2</v>
      </c>
      <c r="I18" s="189">
        <f t="shared" si="1"/>
        <v>77.102105070176947</v>
      </c>
      <c r="J18" s="189">
        <f t="shared" si="9"/>
        <v>3.6756962689528154</v>
      </c>
      <c r="K18" s="55"/>
      <c r="L18" s="138">
        <f t="shared" si="11"/>
        <v>0.24012031356974195</v>
      </c>
      <c r="M18" s="200">
        <f t="shared" si="6"/>
        <v>3.9158165825225573</v>
      </c>
      <c r="N18" s="56"/>
      <c r="O18" s="171">
        <f t="shared" si="2"/>
        <v>3.8267924556547084</v>
      </c>
      <c r="P18" s="167">
        <f t="shared" si="7"/>
        <v>3.8267924556547081E-2</v>
      </c>
    </row>
    <row r="19" spans="1:16" ht="15" customHeight="1" x14ac:dyDescent="0.3">
      <c r="D19" s="222">
        <f t="shared" si="8"/>
        <v>41</v>
      </c>
      <c r="E19" s="213">
        <f t="shared" si="10"/>
        <v>45958</v>
      </c>
      <c r="F19" s="214">
        <f t="shared" si="0"/>
        <v>1254</v>
      </c>
      <c r="G19" s="209">
        <f>+GEMSA!$D$17</f>
        <v>3.5000000000000003E-2</v>
      </c>
      <c r="H19" s="145">
        <v>3.3099999999999997E-2</v>
      </c>
      <c r="I19" s="189">
        <f t="shared" si="1"/>
        <v>73.481106662369257</v>
      </c>
      <c r="J19" s="189">
        <f t="shared" si="9"/>
        <v>3.6209984078076842</v>
      </c>
      <c r="K19" s="55"/>
      <c r="L19" s="138">
        <f t="shared" si="11"/>
        <v>0.22180057622927615</v>
      </c>
      <c r="M19" s="200">
        <f t="shared" si="6"/>
        <v>3.8427989840369605</v>
      </c>
      <c r="N19" s="56"/>
      <c r="O19" s="171">
        <f t="shared" si="2"/>
        <v>3.7533187219523243</v>
      </c>
      <c r="P19" s="167">
        <f t="shared" si="7"/>
        <v>3.7533187219523242E-2</v>
      </c>
    </row>
    <row r="20" spans="1:16" ht="15" customHeight="1" x14ac:dyDescent="0.3">
      <c r="A20" s="32"/>
      <c r="B20" s="32"/>
      <c r="D20" s="222">
        <f t="shared" si="8"/>
        <v>42</v>
      </c>
      <c r="E20" s="213">
        <f t="shared" si="10"/>
        <v>45989</v>
      </c>
      <c r="F20" s="214">
        <f t="shared" si="0"/>
        <v>1285</v>
      </c>
      <c r="G20" s="209">
        <f>+GEMSA!$D$17</f>
        <v>3.5000000000000003E-2</v>
      </c>
      <c r="H20" s="145">
        <v>3.3500000000000002E-2</v>
      </c>
      <c r="I20" s="189">
        <f t="shared" si="1"/>
        <v>69.816349965645472</v>
      </c>
      <c r="J20" s="189">
        <f t="shared" si="9"/>
        <v>3.6647566967237895</v>
      </c>
      <c r="K20" s="55"/>
      <c r="L20" s="138">
        <f t="shared" si="11"/>
        <v>0.21843013898265934</v>
      </c>
      <c r="M20" s="200">
        <f t="shared" si="6"/>
        <v>3.8831868357064487</v>
      </c>
      <c r="N20" s="56"/>
      <c r="O20" s="171">
        <f t="shared" si="2"/>
        <v>3.7905577268199635</v>
      </c>
      <c r="P20" s="167">
        <f t="shared" si="7"/>
        <v>3.7905577268199632E-2</v>
      </c>
    </row>
    <row r="21" spans="1:16" ht="15" customHeight="1" x14ac:dyDescent="0.3">
      <c r="A21" s="111"/>
      <c r="B21" s="32"/>
      <c r="D21" s="222">
        <f t="shared" si="8"/>
        <v>43</v>
      </c>
      <c r="E21" s="213">
        <f t="shared" si="10"/>
        <v>46019</v>
      </c>
      <c r="F21" s="214">
        <f t="shared" si="0"/>
        <v>1315</v>
      </c>
      <c r="G21" s="209">
        <f>+GEMSA!$D$17</f>
        <v>3.5000000000000003E-2</v>
      </c>
      <c r="H21" s="145">
        <v>3.4299999999999997E-2</v>
      </c>
      <c r="I21" s="189">
        <f t="shared" si="1"/>
        <v>66.064076691089468</v>
      </c>
      <c r="J21" s="189">
        <f t="shared" si="9"/>
        <v>3.752273274555999</v>
      </c>
      <c r="K21" s="55"/>
      <c r="L21" s="138">
        <f t="shared" si="11"/>
        <v>0.20084155469569245</v>
      </c>
      <c r="M21" s="200">
        <f t="shared" si="6"/>
        <v>3.9531148292516916</v>
      </c>
      <c r="N21" s="56"/>
      <c r="O21" s="171">
        <f t="shared" si="2"/>
        <v>3.856643256765925</v>
      </c>
      <c r="P21" s="167">
        <f t="shared" si="7"/>
        <v>3.8566432567659251E-2</v>
      </c>
    </row>
    <row r="22" spans="1:16" ht="15" customHeight="1" x14ac:dyDescent="0.3">
      <c r="A22" s="32"/>
      <c r="B22" s="32"/>
      <c r="D22" s="222">
        <f t="shared" si="8"/>
        <v>44</v>
      </c>
      <c r="E22" s="213">
        <f t="shared" si="10"/>
        <v>46050</v>
      </c>
      <c r="F22" s="214">
        <f t="shared" si="0"/>
        <v>1346</v>
      </c>
      <c r="G22" s="209">
        <f>+GEMSA!$D$17</f>
        <v>3.5000000000000003E-2</v>
      </c>
      <c r="H22" s="145">
        <v>3.3599999999999998E-2</v>
      </c>
      <c r="I22" s="189">
        <f t="shared" si="1"/>
        <v>62.388380422136656</v>
      </c>
      <c r="J22" s="189">
        <f t="shared" si="9"/>
        <v>3.6756962689528154</v>
      </c>
      <c r="K22" s="55"/>
      <c r="L22" s="138">
        <f t="shared" si="11"/>
        <v>0.19638225536940296</v>
      </c>
      <c r="M22" s="200">
        <f t="shared" si="6"/>
        <v>3.8720785243222182</v>
      </c>
      <c r="N22" s="56"/>
      <c r="O22" s="171">
        <f t="shared" si="2"/>
        <v>3.7753849881731805</v>
      </c>
      <c r="P22" s="167">
        <f t="shared" si="7"/>
        <v>3.7753849881731805E-2</v>
      </c>
    </row>
    <row r="23" spans="1:16" ht="15" customHeight="1" x14ac:dyDescent="0.3">
      <c r="A23" s="32"/>
      <c r="B23" s="32"/>
      <c r="D23" s="222">
        <f t="shared" si="8"/>
        <v>45</v>
      </c>
      <c r="E23" s="213">
        <f t="shared" si="10"/>
        <v>46081</v>
      </c>
      <c r="F23" s="214">
        <f t="shared" si="0"/>
        <v>1377</v>
      </c>
      <c r="G23" s="209">
        <f>+GEMSA!$D$17</f>
        <v>3.5000000000000003E-2</v>
      </c>
      <c r="H23" s="145">
        <v>3.4599999999999999E-2</v>
      </c>
      <c r="I23" s="189">
        <f t="shared" si="1"/>
        <v>58.603288430893578</v>
      </c>
      <c r="J23" s="189">
        <f t="shared" si="9"/>
        <v>3.7850919912430778</v>
      </c>
      <c r="K23" s="55"/>
      <c r="L23" s="138">
        <f t="shared" si="11"/>
        <v>0.18545587056991311</v>
      </c>
      <c r="M23" s="200">
        <f t="shared" si="6"/>
        <v>3.970547861812991</v>
      </c>
      <c r="N23" s="56"/>
      <c r="O23" s="171">
        <f t="shared" si="2"/>
        <v>3.8691411578245485</v>
      </c>
      <c r="P23" s="167">
        <f t="shared" si="7"/>
        <v>3.8691411578245488E-2</v>
      </c>
    </row>
    <row r="24" spans="1:16" ht="15" customHeight="1" x14ac:dyDescent="0.3">
      <c r="A24" s="32"/>
      <c r="B24" s="32"/>
      <c r="D24" s="222">
        <f t="shared" si="8"/>
        <v>46</v>
      </c>
      <c r="E24" s="213">
        <f t="shared" si="10"/>
        <v>46109</v>
      </c>
      <c r="F24" s="214">
        <f t="shared" si="0"/>
        <v>1405</v>
      </c>
      <c r="G24" s="209">
        <f>+GEMSA!$D$17</f>
        <v>3.5000000000000003E-2</v>
      </c>
      <c r="H24" s="145">
        <v>3.4200000000000001E-2</v>
      </c>
      <c r="I24" s="189">
        <f t="shared" si="1"/>
        <v>54.861954728566602</v>
      </c>
      <c r="J24" s="189">
        <f t="shared" si="9"/>
        <v>3.741333702326973</v>
      </c>
      <c r="K24" s="55"/>
      <c r="L24" s="138">
        <f t="shared" si="11"/>
        <v>0.15734581551308413</v>
      </c>
      <c r="M24" s="200">
        <f t="shared" si="6"/>
        <v>3.8986795178400571</v>
      </c>
      <c r="N24" s="56"/>
      <c r="O24" s="171">
        <f t="shared" si="2"/>
        <v>3.7971102283729246</v>
      </c>
      <c r="P24" s="167">
        <f t="shared" si="7"/>
        <v>3.7971102283729248E-2</v>
      </c>
    </row>
    <row r="25" spans="1:16" ht="15" customHeight="1" x14ac:dyDescent="0.3">
      <c r="D25" s="222">
        <f t="shared" si="8"/>
        <v>47</v>
      </c>
      <c r="E25" s="213">
        <f t="shared" si="10"/>
        <v>46140</v>
      </c>
      <c r="F25" s="214">
        <f t="shared" si="0"/>
        <v>1436</v>
      </c>
      <c r="G25" s="209">
        <f>+GEMSA!$D$17</f>
        <v>3.5000000000000003E-2</v>
      </c>
      <c r="H25" s="145">
        <v>3.4099999999999998E-2</v>
      </c>
      <c r="I25" s="189">
        <f t="shared" si="1"/>
        <v>51.131560598468653</v>
      </c>
      <c r="J25" s="189">
        <f t="shared" si="9"/>
        <v>3.7303941300979466</v>
      </c>
      <c r="K25" s="55"/>
      <c r="L25" s="147">
        <f t="shared" si="11"/>
        <v>0.16308279693286237</v>
      </c>
      <c r="M25" s="200">
        <f t="shared" si="6"/>
        <v>3.8934769270308092</v>
      </c>
      <c r="N25" s="56"/>
      <c r="O25" s="172">
        <f t="shared" si="2"/>
        <v>3.7898351891565025</v>
      </c>
      <c r="P25" s="167">
        <f t="shared" si="7"/>
        <v>3.7898351891565027E-2</v>
      </c>
    </row>
    <row r="26" spans="1:16" ht="15" customHeight="1" x14ac:dyDescent="0.3">
      <c r="D26" s="222">
        <f t="shared" si="8"/>
        <v>48</v>
      </c>
      <c r="E26" s="213">
        <f t="shared" si="10"/>
        <v>46170</v>
      </c>
      <c r="F26" s="214">
        <f t="shared" si="0"/>
        <v>1466</v>
      </c>
      <c r="G26" s="209">
        <f>+GEMSA!$D$17</f>
        <v>3.5000000000000003E-2</v>
      </c>
      <c r="H26" s="145">
        <v>3.61E-2</v>
      </c>
      <c r="I26" s="189">
        <f t="shared" si="1"/>
        <v>47.182375023790179</v>
      </c>
      <c r="J26" s="189">
        <f t="shared" si="9"/>
        <v>3.9491855746784714</v>
      </c>
      <c r="K26" s="55"/>
      <c r="L26" s="147">
        <f t="shared" si="11"/>
        <v>0.14709079076271805</v>
      </c>
      <c r="M26" s="200">
        <f t="shared" si="6"/>
        <v>4.0962763654411898</v>
      </c>
      <c r="N26" s="56"/>
      <c r="O26" s="172">
        <f t="shared" si="2"/>
        <v>3.9849894711823692</v>
      </c>
      <c r="P26" s="167">
        <f t="shared" si="7"/>
        <v>3.9849894711823694E-2</v>
      </c>
    </row>
    <row r="27" spans="1:16" ht="15" customHeight="1" x14ac:dyDescent="0.3">
      <c r="D27" s="222">
        <f t="shared" si="8"/>
        <v>49</v>
      </c>
      <c r="E27" s="213">
        <f t="shared" si="10"/>
        <v>46201</v>
      </c>
      <c r="F27" s="214">
        <f t="shared" si="0"/>
        <v>1497</v>
      </c>
      <c r="G27" s="209">
        <f>+GEMSA!$D$17</f>
        <v>3.5000000000000003E-2</v>
      </c>
      <c r="H27" s="145">
        <v>3.4599999999999999E-2</v>
      </c>
      <c r="I27" s="189">
        <f>+I26+K27-J27</f>
        <v>43.397283032547101</v>
      </c>
      <c r="J27" s="189">
        <f t="shared" si="9"/>
        <v>3.7850919912430778</v>
      </c>
      <c r="K27" s="55"/>
      <c r="L27" s="138">
        <f t="shared" si="11"/>
        <v>0.1402544572624996</v>
      </c>
      <c r="M27" s="200">
        <f t="shared" si="6"/>
        <v>3.9253464485055773</v>
      </c>
      <c r="N27" s="56"/>
      <c r="O27" s="171">
        <f t="shared" si="2"/>
        <v>3.8164798363957888</v>
      </c>
      <c r="P27" s="167">
        <f t="shared" si="7"/>
        <v>3.8164798363957891E-2</v>
      </c>
    </row>
    <row r="28" spans="1:16" ht="15" customHeight="1" x14ac:dyDescent="0.3">
      <c r="D28" s="222">
        <f t="shared" si="8"/>
        <v>50</v>
      </c>
      <c r="E28" s="213">
        <f t="shared" si="10"/>
        <v>46231</v>
      </c>
      <c r="F28" s="214">
        <f t="shared" si="0"/>
        <v>1527</v>
      </c>
      <c r="G28" s="209">
        <f>+GEMSA!$D$17</f>
        <v>3.5000000000000003E-2</v>
      </c>
      <c r="H28" s="145">
        <v>3.5499999999999997E-2</v>
      </c>
      <c r="I28" s="189">
        <f t="shared" si="1"/>
        <v>39.513734891242784</v>
      </c>
      <c r="J28" s="189">
        <f t="shared" si="9"/>
        <v>3.8835481413043138</v>
      </c>
      <c r="K28" s="55"/>
      <c r="L28" s="138">
        <f t="shared" si="11"/>
        <v>0.12484149913472455</v>
      </c>
      <c r="M28" s="200">
        <f t="shared" si="6"/>
        <v>4.008389640439038</v>
      </c>
      <c r="N28" s="56"/>
      <c r="O28" s="171">
        <f t="shared" si="2"/>
        <v>3.8950238378644673</v>
      </c>
      <c r="P28" s="167">
        <f t="shared" si="7"/>
        <v>3.8950238378644669E-2</v>
      </c>
    </row>
    <row r="29" spans="1:16" ht="15" customHeight="1" x14ac:dyDescent="0.3">
      <c r="D29" s="222">
        <f t="shared" si="8"/>
        <v>51</v>
      </c>
      <c r="E29" s="213">
        <f t="shared" si="10"/>
        <v>46262</v>
      </c>
      <c r="F29" s="214">
        <f t="shared" si="0"/>
        <v>1558</v>
      </c>
      <c r="G29" s="209">
        <f>+GEMSA!$D$17</f>
        <v>3.5000000000000003E-2</v>
      </c>
      <c r="H29" s="145">
        <v>3.5099999999999999E-2</v>
      </c>
      <c r="I29" s="189">
        <f t="shared" si="1"/>
        <v>35.673945038854576</v>
      </c>
      <c r="J29" s="189">
        <f t="shared" si="9"/>
        <v>3.839789852388209</v>
      </c>
      <c r="K29" s="55"/>
      <c r="L29" s="138">
        <f t="shared" si="11"/>
        <v>0.11745863659451623</v>
      </c>
      <c r="M29" s="200">
        <f t="shared" si="6"/>
        <v>3.9572484889827253</v>
      </c>
      <c r="N29" s="56"/>
      <c r="O29" s="171">
        <f t="shared" si="2"/>
        <v>3.8430900529845369</v>
      </c>
      <c r="P29" s="167">
        <f t="shared" si="7"/>
        <v>3.8430900529845366E-2</v>
      </c>
    </row>
    <row r="30" spans="1:16" ht="13.8" x14ac:dyDescent="0.3">
      <c r="D30" s="222">
        <f t="shared" si="8"/>
        <v>52</v>
      </c>
      <c r="E30" s="213">
        <f t="shared" si="10"/>
        <v>46293</v>
      </c>
      <c r="F30" s="214">
        <f t="shared" si="0"/>
        <v>1589</v>
      </c>
      <c r="G30" s="209">
        <f>+GEMSA!$D$17</f>
        <v>3.5000000000000003E-2</v>
      </c>
      <c r="H30" s="145">
        <v>3.5700000000000003E-2</v>
      </c>
      <c r="I30" s="189">
        <f t="shared" si="1"/>
        <v>31.768517753092208</v>
      </c>
      <c r="J30" s="189">
        <f t="shared" si="9"/>
        <v>3.9054272857623671</v>
      </c>
      <c r="K30" s="55"/>
      <c r="L30" s="138">
        <f t="shared" si="11"/>
        <v>0.10604446675933485</v>
      </c>
      <c r="M30" s="200">
        <f t="shared" si="6"/>
        <v>4.0114717525217021</v>
      </c>
      <c r="N30" s="56"/>
      <c r="O30" s="171">
        <f t="shared" si="2"/>
        <v>3.8934807153127098</v>
      </c>
      <c r="P30" s="167">
        <f t="shared" si="7"/>
        <v>3.8934807153127096E-2</v>
      </c>
    </row>
    <row r="31" spans="1:16" ht="13.8" x14ac:dyDescent="0.3">
      <c r="D31" s="222">
        <f t="shared" si="8"/>
        <v>53</v>
      </c>
      <c r="E31" s="213">
        <f t="shared" si="10"/>
        <v>46323</v>
      </c>
      <c r="F31" s="214">
        <f t="shared" si="0"/>
        <v>1619</v>
      </c>
      <c r="G31" s="209">
        <f>+GEMSA!$D$17</f>
        <v>3.5000000000000003E-2</v>
      </c>
      <c r="H31" s="145">
        <v>3.5400000000000001E-2</v>
      </c>
      <c r="I31" s="189">
        <f t="shared" si="1"/>
        <v>27.895909184016922</v>
      </c>
      <c r="J31" s="189">
        <f t="shared" si="9"/>
        <v>3.8726085690752878</v>
      </c>
      <c r="K31" s="55"/>
      <c r="L31" s="138">
        <f t="shared" si="11"/>
        <v>9.1388886686977588E-2</v>
      </c>
      <c r="M31" s="200">
        <f t="shared" si="6"/>
        <v>3.9639974557622653</v>
      </c>
      <c r="N31" s="56"/>
      <c r="O31" s="171">
        <f t="shared" si="2"/>
        <v>3.8452348223905615</v>
      </c>
      <c r="P31" s="167">
        <f t="shared" si="7"/>
        <v>3.8452348223905614E-2</v>
      </c>
    </row>
    <row r="32" spans="1:16" ht="13.8" x14ac:dyDescent="0.3">
      <c r="D32" s="222">
        <f t="shared" si="8"/>
        <v>54</v>
      </c>
      <c r="E32" s="213">
        <f t="shared" si="10"/>
        <v>46354</v>
      </c>
      <c r="F32" s="214">
        <f t="shared" si="0"/>
        <v>1650</v>
      </c>
      <c r="G32" s="209">
        <f>+GEMSA!$D$17</f>
        <v>3.5000000000000003E-2</v>
      </c>
      <c r="H32" s="145">
        <v>3.5499999999999997E-2</v>
      </c>
      <c r="I32" s="189">
        <f t="shared" si="1"/>
        <v>24.012361042712609</v>
      </c>
      <c r="J32" s="189">
        <f t="shared" si="9"/>
        <v>3.8835481413043138</v>
      </c>
      <c r="K32" s="55"/>
      <c r="L32" s="138">
        <f t="shared" si="11"/>
        <v>8.2923456067557161E-2</v>
      </c>
      <c r="M32" s="200">
        <f t="shared" si="6"/>
        <v>3.9664715973718709</v>
      </c>
      <c r="N32" s="56"/>
      <c r="O32" s="171">
        <f t="shared" si="2"/>
        <v>3.8453944811574878</v>
      </c>
      <c r="P32" s="167">
        <f t="shared" si="7"/>
        <v>3.8453944811574881E-2</v>
      </c>
    </row>
    <row r="33" spans="4:16" ht="13.8" x14ac:dyDescent="0.3">
      <c r="D33" s="222">
        <f t="shared" si="8"/>
        <v>55</v>
      </c>
      <c r="E33" s="213">
        <f t="shared" si="10"/>
        <v>46384</v>
      </c>
      <c r="F33" s="214">
        <f t="shared" si="0"/>
        <v>1680</v>
      </c>
      <c r="G33" s="209">
        <f>+GEMSA!$D$17</f>
        <v>3.5000000000000003E-2</v>
      </c>
      <c r="H33" s="145">
        <v>3.61E-2</v>
      </c>
      <c r="I33" s="189">
        <f t="shared" si="1"/>
        <v>20.063175468034139</v>
      </c>
      <c r="J33" s="189">
        <f t="shared" si="9"/>
        <v>3.9491855746784714</v>
      </c>
      <c r="K33" s="55"/>
      <c r="L33" s="138">
        <f t="shared" si="11"/>
        <v>6.9076655054378738E-2</v>
      </c>
      <c r="M33" s="200">
        <f t="shared" si="6"/>
        <v>4.0182622297328505</v>
      </c>
      <c r="N33" s="56"/>
      <c r="O33" s="171">
        <f t="shared" si="2"/>
        <v>3.8934090591523081</v>
      </c>
      <c r="P33" s="167">
        <f t="shared" si="7"/>
        <v>3.8934090591523078E-2</v>
      </c>
    </row>
    <row r="34" spans="4:16" ht="13.8" x14ac:dyDescent="0.3">
      <c r="D34" s="222">
        <f t="shared" si="8"/>
        <v>56</v>
      </c>
      <c r="E34" s="213">
        <f t="shared" si="10"/>
        <v>46415</v>
      </c>
      <c r="F34" s="214">
        <f t="shared" si="0"/>
        <v>1711</v>
      </c>
      <c r="G34" s="209">
        <f>+GEMSA!$D$17</f>
        <v>3.5000000000000003E-2</v>
      </c>
      <c r="H34" s="145">
        <v>3.5999999999999997E-2</v>
      </c>
      <c r="I34" s="189">
        <f t="shared" si="1"/>
        <v>16.124929465584692</v>
      </c>
      <c r="J34" s="189">
        <f t="shared" si="9"/>
        <v>3.938246002449445</v>
      </c>
      <c r="K34" s="55"/>
      <c r="L34" s="138">
        <f>+YEARFRAC(E33,E34,3)*(G34)*I33</f>
        <v>5.9639850363882314E-2</v>
      </c>
      <c r="M34" s="200">
        <f t="shared" si="6"/>
        <v>3.9978858528133272</v>
      </c>
      <c r="N34" s="56"/>
      <c r="O34" s="171">
        <f t="shared" si="2"/>
        <v>3.8714102917066024</v>
      </c>
      <c r="P34" s="167">
        <f t="shared" si="7"/>
        <v>3.8714102917066028E-2</v>
      </c>
    </row>
    <row r="35" spans="4:16" ht="13.8" x14ac:dyDescent="0.3">
      <c r="D35" s="222">
        <f t="shared" si="8"/>
        <v>57</v>
      </c>
      <c r="E35" s="213">
        <f t="shared" si="10"/>
        <v>46446</v>
      </c>
      <c r="F35" s="214">
        <f t="shared" si="0"/>
        <v>1742</v>
      </c>
      <c r="G35" s="209">
        <f>+GEMSA!$D$17</f>
        <v>3.5000000000000003E-2</v>
      </c>
      <c r="H35" s="145">
        <v>3.6499999999999998E-2</v>
      </c>
      <c r="I35" s="189">
        <f t="shared" si="1"/>
        <v>12.131985601990117</v>
      </c>
      <c r="J35" s="189">
        <f t="shared" si="9"/>
        <v>3.9929438635945762</v>
      </c>
      <c r="K35" s="55"/>
      <c r="L35" s="138">
        <f t="shared" si="11"/>
        <v>4.793300950728601E-2</v>
      </c>
      <c r="M35" s="200">
        <f t="shared" si="6"/>
        <v>4.0408768731018618</v>
      </c>
      <c r="N35" s="56"/>
      <c r="O35" s="171">
        <f t="shared" si="2"/>
        <v>3.9107628239336312</v>
      </c>
      <c r="P35" s="167">
        <f t="shared" si="7"/>
        <v>3.9107628239336313E-2</v>
      </c>
    </row>
    <row r="36" spans="4:16" ht="13.8" x14ac:dyDescent="0.3">
      <c r="D36" s="222">
        <f t="shared" si="8"/>
        <v>58</v>
      </c>
      <c r="E36" s="213">
        <f t="shared" si="10"/>
        <v>46474</v>
      </c>
      <c r="F36" s="214">
        <f t="shared" si="0"/>
        <v>1770</v>
      </c>
      <c r="G36" s="209">
        <f>+GEMSA!$D$17</f>
        <v>3.5000000000000003E-2</v>
      </c>
      <c r="H36" s="145">
        <v>3.5999999999999997E-2</v>
      </c>
      <c r="I36" s="189">
        <f t="shared" si="1"/>
        <v>8.1937395995406721</v>
      </c>
      <c r="J36" s="189">
        <f t="shared" si="9"/>
        <v>3.938246002449445</v>
      </c>
      <c r="K36" s="55"/>
      <c r="L36" s="138">
        <f t="shared" si="11"/>
        <v>3.257355038342552E-2</v>
      </c>
      <c r="M36" s="200">
        <f t="shared" si="6"/>
        <v>3.9708195528328707</v>
      </c>
      <c r="N36" s="56"/>
      <c r="O36" s="171">
        <f t="shared" si="2"/>
        <v>3.8409401643736212</v>
      </c>
      <c r="P36" s="167">
        <f t="shared" si="7"/>
        <v>3.8409401643736213E-2</v>
      </c>
    </row>
    <row r="37" spans="4:16" ht="13.8" x14ac:dyDescent="0.3">
      <c r="D37" s="222">
        <f t="shared" si="8"/>
        <v>59</v>
      </c>
      <c r="E37" s="213">
        <f t="shared" si="10"/>
        <v>46505</v>
      </c>
      <c r="F37" s="214">
        <f t="shared" si="0"/>
        <v>1801</v>
      </c>
      <c r="G37" s="209">
        <f>+GEMSA!$D$17</f>
        <v>3.5000000000000003E-2</v>
      </c>
      <c r="H37" s="145">
        <v>3.6499999999999998E-2</v>
      </c>
      <c r="I37" s="189">
        <f t="shared" si="1"/>
        <v>4.2007957359460963</v>
      </c>
      <c r="J37" s="189">
        <f t="shared" si="9"/>
        <v>3.9929438635945762</v>
      </c>
      <c r="K37" s="55"/>
      <c r="L37" s="138">
        <f t="shared" si="11"/>
        <v>2.4356732782196248E-2</v>
      </c>
      <c r="M37" s="200">
        <f t="shared" si="6"/>
        <v>4.0173005963767725</v>
      </c>
      <c r="N37" s="56"/>
      <c r="O37" s="171">
        <f t="shared" ref="O37:O38" si="12">+M37/((1+G37)^(F37/$F$38))</f>
        <v>3.8836382467281925</v>
      </c>
      <c r="P37" s="167">
        <f t="shared" si="7"/>
        <v>3.8836382467281924E-2</v>
      </c>
    </row>
    <row r="38" spans="4:16" ht="13.8" x14ac:dyDescent="0.3">
      <c r="D38" s="222">
        <f t="shared" si="8"/>
        <v>60</v>
      </c>
      <c r="E38" s="213">
        <f t="shared" si="10"/>
        <v>46535</v>
      </c>
      <c r="F38" s="214">
        <f t="shared" si="0"/>
        <v>1831</v>
      </c>
      <c r="G38" s="209">
        <f>+GEMSA!$D$17</f>
        <v>3.5000000000000003E-2</v>
      </c>
      <c r="H38" s="145">
        <v>3.8399999999999997E-2</v>
      </c>
      <c r="I38" s="189">
        <f t="shared" si="1"/>
        <v>2.1316282072803006E-14</v>
      </c>
      <c r="J38" s="189">
        <f t="shared" si="9"/>
        <v>4.200795735946075</v>
      </c>
      <c r="K38" s="55"/>
      <c r="L38" s="138">
        <f t="shared" si="11"/>
        <v>1.2084480884228496E-2</v>
      </c>
      <c r="M38" s="200">
        <f t="shared" si="6"/>
        <v>4.2128802168303032</v>
      </c>
      <c r="N38" s="56"/>
      <c r="O38" s="171">
        <f t="shared" si="12"/>
        <v>4.0704156684350759</v>
      </c>
      <c r="P38" s="167">
        <f t="shared" si="7"/>
        <v>4.0704156684350762E-2</v>
      </c>
    </row>
    <row r="39" spans="4:16" x14ac:dyDescent="0.3">
      <c r="D39" s="226"/>
      <c r="E39" s="211"/>
      <c r="F39" s="211"/>
      <c r="G39" s="211"/>
      <c r="H39" s="194">
        <f>+SUM(H5:H38)</f>
        <v>1</v>
      </c>
      <c r="I39" s="196"/>
      <c r="J39" s="196">
        <f>+SUM(J5:J38)</f>
        <v>109.39572229026237</v>
      </c>
      <c r="K39" s="61"/>
      <c r="L39" s="219">
        <f>+SUM(L5:L38)</f>
        <v>4.9509855932664717</v>
      </c>
      <c r="M39" s="196">
        <f>+SUM(M5:M38)</f>
        <v>114.34670788352882</v>
      </c>
      <c r="N39" s="61"/>
    </row>
  </sheetData>
  <sheetProtection algorithmName="SHA-512" hashValue="BUFP+HDf0Y/LLPRsntbeKwn114mOqllX+OMqSRWVEVXMC7zYiPTL1aK9e2PGOWPPaeT13Ij2nzn94IznYMdN8g==" saltValue="jeiWCZ4R1/JIRYBpqQPxsQ==" spinCount="100000" sheet="1" objects="1" scenarios="1" selectLockedCells="1" selectUnlockedCells="1"/>
  <mergeCells count="1">
    <mergeCell ref="A2:C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9"/>
  <sheetViews>
    <sheetView workbookViewId="0">
      <selection sqref="A1:XFD1048576"/>
    </sheetView>
  </sheetViews>
  <sheetFormatPr baseColWidth="10" defaultColWidth="14.6640625" defaultRowHeight="12" x14ac:dyDescent="0.3"/>
  <cols>
    <col min="1" max="1" width="22.44140625" style="23" bestFit="1" customWidth="1"/>
    <col min="2" max="2" width="4.88671875" style="23" customWidth="1"/>
    <col min="3" max="3" width="14.33203125" style="23" customWidth="1"/>
    <col min="4" max="4" width="5.6640625" style="23" bestFit="1" customWidth="1"/>
    <col min="5" max="5" width="10.33203125" style="23" customWidth="1"/>
    <col min="6" max="6" width="6.6640625" style="23" customWidth="1"/>
    <col min="7" max="7" width="9.5546875" style="23" customWidth="1"/>
    <col min="8" max="8" width="10.33203125" style="23" customWidth="1"/>
    <col min="9" max="9" width="8.44140625" style="23" customWidth="1"/>
    <col min="10" max="10" width="11.5546875" style="23" bestFit="1" customWidth="1"/>
    <col min="11" max="12" width="8.44140625" style="23" customWidth="1"/>
    <col min="13" max="13" width="14.6640625" style="23"/>
    <col min="14" max="14" width="6.109375" style="23" customWidth="1"/>
    <col min="15" max="16" width="14.6640625" style="158" hidden="1" customWidth="1"/>
    <col min="17" max="16384" width="14.6640625" style="23"/>
  </cols>
  <sheetData>
    <row r="1" spans="1:16" ht="6.75" customHeight="1" x14ac:dyDescent="0.3">
      <c r="A1" s="129"/>
      <c r="B1" s="129"/>
      <c r="C1" s="129"/>
      <c r="D1" s="130"/>
    </row>
    <row r="2" spans="1:16" ht="15" customHeight="1" x14ac:dyDescent="0.3">
      <c r="A2" s="276" t="str">
        <f>GEMSA!F3</f>
        <v>UVA / Clase XVIII</v>
      </c>
      <c r="B2" s="276"/>
      <c r="C2" s="277"/>
      <c r="D2" s="131" t="s">
        <v>19</v>
      </c>
      <c r="E2" s="178" t="s">
        <v>20</v>
      </c>
      <c r="F2" s="178" t="s">
        <v>21</v>
      </c>
      <c r="G2" s="132" t="s">
        <v>6</v>
      </c>
      <c r="H2" s="132" t="s">
        <v>31</v>
      </c>
      <c r="I2" s="132" t="s">
        <v>33</v>
      </c>
      <c r="J2" s="30" t="s">
        <v>34</v>
      </c>
      <c r="K2" s="132" t="s">
        <v>28</v>
      </c>
      <c r="L2" s="132" t="s">
        <v>0</v>
      </c>
      <c r="M2" s="24" t="s">
        <v>1</v>
      </c>
      <c r="N2" s="24"/>
    </row>
    <row r="3" spans="1:16" s="26" customFormat="1" x14ac:dyDescent="0.3">
      <c r="A3" s="203" t="s">
        <v>2</v>
      </c>
      <c r="B3" s="133"/>
      <c r="C3" s="220">
        <f>GEMSA!D9</f>
        <v>100</v>
      </c>
      <c r="D3" s="134"/>
      <c r="E3" s="135">
        <f>+C4</f>
        <v>44704</v>
      </c>
      <c r="F3" s="136"/>
      <c r="G3" s="136"/>
      <c r="H3" s="229">
        <v>0</v>
      </c>
      <c r="I3" s="137"/>
      <c r="J3" s="31"/>
      <c r="K3" s="137"/>
      <c r="L3" s="138"/>
      <c r="N3" s="25"/>
      <c r="O3" s="158"/>
      <c r="P3" s="158"/>
    </row>
    <row r="4" spans="1:16" ht="13.8" x14ac:dyDescent="0.3">
      <c r="A4" s="44" t="s">
        <v>7</v>
      </c>
      <c r="B4" s="139"/>
      <c r="C4" s="140">
        <f>GEMSA!D6</f>
        <v>44704</v>
      </c>
      <c r="D4" s="222">
        <v>0</v>
      </c>
      <c r="E4" s="217">
        <f>+E3</f>
        <v>44704</v>
      </c>
      <c r="F4" s="214">
        <f>E4-$E$3</f>
        <v>0</v>
      </c>
      <c r="G4" s="141">
        <f>GEMSA!$G$17</f>
        <v>0.02</v>
      </c>
      <c r="H4" s="145">
        <v>0</v>
      </c>
      <c r="I4" s="142">
        <f>+C3</f>
        <v>100</v>
      </c>
      <c r="J4" s="27"/>
      <c r="K4" s="142"/>
      <c r="L4" s="138"/>
      <c r="M4" s="143">
        <f>-C3</f>
        <v>-100</v>
      </c>
      <c r="N4" s="27"/>
      <c r="O4" s="159">
        <f>(SUM(O5:O38))/100</f>
        <v>1.0637139332913881</v>
      </c>
    </row>
    <row r="5" spans="1:16" ht="13.8" x14ac:dyDescent="0.3">
      <c r="A5" s="44" t="s">
        <v>8</v>
      </c>
      <c r="B5" s="139"/>
      <c r="C5" s="140">
        <f>+E38</f>
        <v>46535</v>
      </c>
      <c r="D5" s="130">
        <v>6</v>
      </c>
      <c r="E5" s="213">
        <f>EDATE($E$4,D5)</f>
        <v>44888</v>
      </c>
      <c r="F5" s="214">
        <f t="shared" ref="F5:F38" si="0">E5-$E$3</f>
        <v>184</v>
      </c>
      <c r="G5" s="141">
        <f>GEMSA!$G$17</f>
        <v>0.02</v>
      </c>
      <c r="H5" s="145">
        <v>0</v>
      </c>
      <c r="I5" s="144">
        <f t="shared" ref="I5:I38" si="1">+I4+K5-J5</f>
        <v>101.00821917808219</v>
      </c>
      <c r="J5" s="189">
        <v>0</v>
      </c>
      <c r="K5" s="142">
        <f>+YEARFRAC(E4,E5,3)*(G5)*I4</f>
        <v>1.0082191780821919</v>
      </c>
      <c r="L5" s="138"/>
      <c r="M5" s="27">
        <f>J5+L5</f>
        <v>0</v>
      </c>
      <c r="N5" s="27"/>
      <c r="O5" s="160">
        <f t="shared" ref="O5:O16" si="2">+M5/((1+G5)^(F5/$F$38))</f>
        <v>0</v>
      </c>
      <c r="P5" s="158">
        <f>O5/100</f>
        <v>0</v>
      </c>
    </row>
    <row r="6" spans="1:16" ht="13.8" x14ac:dyDescent="0.3">
      <c r="A6" s="44" t="s">
        <v>13</v>
      </c>
      <c r="B6" s="139"/>
      <c r="C6" s="186">
        <f>+GEMSA!G17</f>
        <v>0.02</v>
      </c>
      <c r="D6" s="130">
        <v>12</v>
      </c>
      <c r="E6" s="213">
        <f>EDATE($E$4,D6)</f>
        <v>45069</v>
      </c>
      <c r="F6" s="214">
        <f t="shared" si="0"/>
        <v>365</v>
      </c>
      <c r="G6" s="141">
        <f>GEMSA!$G$17</f>
        <v>0.02</v>
      </c>
      <c r="H6" s="145">
        <v>0</v>
      </c>
      <c r="I6" s="144">
        <f t="shared" si="1"/>
        <v>102.00999932445112</v>
      </c>
      <c r="J6" s="189">
        <v>0</v>
      </c>
      <c r="K6" s="142">
        <f t="shared" ref="K6:K9" si="3">+YEARFRAC(E5,E6,3)*(G6)*I5</f>
        <v>1.0017801463689247</v>
      </c>
      <c r="L6" s="138"/>
      <c r="M6" s="27">
        <f t="shared" ref="M6:M38" si="4">J6+L6</f>
        <v>0</v>
      </c>
      <c r="N6" s="27"/>
      <c r="O6" s="160">
        <f t="shared" si="2"/>
        <v>0</v>
      </c>
      <c r="P6" s="158">
        <f t="shared" ref="P6:P38" si="5">O6/100</f>
        <v>0</v>
      </c>
    </row>
    <row r="7" spans="1:16" ht="13.8" x14ac:dyDescent="0.3">
      <c r="A7" s="44"/>
      <c r="B7" s="139"/>
      <c r="C7" s="146"/>
      <c r="D7" s="130">
        <v>18</v>
      </c>
      <c r="E7" s="213">
        <f>EDATE($E$4,D7)</f>
        <v>45253</v>
      </c>
      <c r="F7" s="214">
        <f t="shared" si="0"/>
        <v>549</v>
      </c>
      <c r="G7" s="141">
        <f>GEMSA!$G$17</f>
        <v>0.02</v>
      </c>
      <c r="H7" s="145">
        <v>0</v>
      </c>
      <c r="I7" s="144">
        <f t="shared" si="1"/>
        <v>103.03848370120174</v>
      </c>
      <c r="J7" s="189">
        <v>0</v>
      </c>
      <c r="K7" s="142">
        <f t="shared" si="3"/>
        <v>1.0284843767506304</v>
      </c>
      <c r="L7" s="138"/>
      <c r="M7" s="27">
        <f t="shared" si="4"/>
        <v>0</v>
      </c>
      <c r="N7" s="27"/>
      <c r="O7" s="160">
        <f t="shared" si="2"/>
        <v>0</v>
      </c>
      <c r="P7" s="158">
        <f t="shared" si="5"/>
        <v>0</v>
      </c>
    </row>
    <row r="8" spans="1:16" ht="13.8" x14ac:dyDescent="0.3">
      <c r="D8" s="130">
        <v>24</v>
      </c>
      <c r="E8" s="213">
        <f>EDATE($E$4,D8)</f>
        <v>45435</v>
      </c>
      <c r="F8" s="214">
        <f t="shared" si="0"/>
        <v>731</v>
      </c>
      <c r="G8" s="141">
        <f>GEMSA!$G$17</f>
        <v>0.02</v>
      </c>
      <c r="H8" s="145">
        <v>0</v>
      </c>
      <c r="I8" s="144">
        <f t="shared" si="1"/>
        <v>104.06604556605757</v>
      </c>
      <c r="J8" s="189">
        <v>0</v>
      </c>
      <c r="K8" s="142">
        <f t="shared" si="3"/>
        <v>1.02756186485582</v>
      </c>
      <c r="L8" s="138"/>
      <c r="M8" s="27">
        <f t="shared" si="4"/>
        <v>0</v>
      </c>
      <c r="N8" s="27"/>
      <c r="O8" s="160">
        <f t="shared" si="2"/>
        <v>0</v>
      </c>
      <c r="P8" s="158">
        <f t="shared" si="5"/>
        <v>0</v>
      </c>
    </row>
    <row r="9" spans="1:16" ht="13.8" x14ac:dyDescent="0.3">
      <c r="D9" s="130">
        <v>31</v>
      </c>
      <c r="E9" s="218">
        <f>EDATE($E$4,D9)</f>
        <v>45649</v>
      </c>
      <c r="F9" s="215">
        <f t="shared" si="0"/>
        <v>945</v>
      </c>
      <c r="G9" s="154">
        <f>GEMSA!$G$17</f>
        <v>0.02</v>
      </c>
      <c r="H9" s="176">
        <v>0</v>
      </c>
      <c r="I9" s="144">
        <f t="shared" si="1"/>
        <v>105.28632686748969</v>
      </c>
      <c r="J9" s="189">
        <v>0</v>
      </c>
      <c r="K9" s="142">
        <f t="shared" si="3"/>
        <v>1.2202813014321272</v>
      </c>
      <c r="L9" s="147"/>
      <c r="M9" s="27">
        <f t="shared" si="4"/>
        <v>0</v>
      </c>
      <c r="N9" s="27"/>
      <c r="O9" s="160">
        <f t="shared" si="2"/>
        <v>0</v>
      </c>
      <c r="P9" s="158">
        <f t="shared" si="5"/>
        <v>0</v>
      </c>
    </row>
    <row r="10" spans="1:16" ht="13.8" x14ac:dyDescent="0.3">
      <c r="A10" s="146" t="s">
        <v>30</v>
      </c>
      <c r="B10" s="146"/>
      <c r="C10" s="145">
        <f>NOMINAL(C11,12)</f>
        <v>1.9941736418310541E-2</v>
      </c>
      <c r="D10" s="223">
        <f>+D9+1</f>
        <v>32</v>
      </c>
      <c r="E10" s="213">
        <v>45685</v>
      </c>
      <c r="F10" s="214">
        <f t="shared" si="0"/>
        <v>981</v>
      </c>
      <c r="G10" s="141">
        <f>GEMSA!$G$17</f>
        <v>0.02</v>
      </c>
      <c r="H10" s="145">
        <v>3.1600000000000003E-2</v>
      </c>
      <c r="I10" s="149">
        <f>+I9+K10-J10</f>
        <v>101.95927893847701</v>
      </c>
      <c r="J10" s="192">
        <f>H10*$I$9</f>
        <v>3.3270479290126747</v>
      </c>
      <c r="K10" s="148"/>
      <c r="L10" s="150">
        <f t="shared" ref="L10:L38" si="6">+YEARFRAC(E9,E10,3)*(G10)*I9</f>
        <v>0.20768809683450021</v>
      </c>
      <c r="M10" s="127">
        <f t="shared" si="4"/>
        <v>3.5347360258471747</v>
      </c>
      <c r="N10" s="127"/>
      <c r="O10" s="161">
        <f t="shared" si="2"/>
        <v>3.4974317485350976</v>
      </c>
      <c r="P10" s="162">
        <f t="shared" si="5"/>
        <v>3.4974317485350979E-2</v>
      </c>
    </row>
    <row r="11" spans="1:16" ht="13.8" x14ac:dyDescent="0.3">
      <c r="A11" s="23" t="s">
        <v>14</v>
      </c>
      <c r="C11" s="145">
        <f>XIRR(M4:M38,E4:E38)</f>
        <v>2.0125016570091251E-2</v>
      </c>
      <c r="D11" s="222">
        <f t="shared" ref="D11:D38" si="7">D10+1</f>
        <v>33</v>
      </c>
      <c r="E11" s="213">
        <f>EDATE(E10,1)</f>
        <v>45716</v>
      </c>
      <c r="F11" s="214">
        <f t="shared" si="0"/>
        <v>1012</v>
      </c>
      <c r="G11" s="141">
        <f>GEMSA!$G$17</f>
        <v>0.02</v>
      </c>
      <c r="H11" s="145">
        <v>3.2599999999999997E-2</v>
      </c>
      <c r="I11" s="144">
        <f t="shared" si="1"/>
        <v>98.526944682596849</v>
      </c>
      <c r="J11" s="190">
        <f t="shared" ref="J11:J38" si="8">H11*$I$9</f>
        <v>3.4323342558801637</v>
      </c>
      <c r="K11" s="142"/>
      <c r="L11" s="138">
        <f t="shared" si="6"/>
        <v>0.17319110395028972</v>
      </c>
      <c r="M11" s="27">
        <f t="shared" si="4"/>
        <v>3.6055253598304535</v>
      </c>
      <c r="N11" s="27"/>
      <c r="O11" s="160">
        <f t="shared" si="2"/>
        <v>3.5662781278861235</v>
      </c>
      <c r="P11" s="158">
        <f t="shared" si="5"/>
        <v>3.5662781278861237E-2</v>
      </c>
    </row>
    <row r="12" spans="1:16" ht="13.8" x14ac:dyDescent="0.3">
      <c r="A12" s="139"/>
      <c r="B12" s="139"/>
      <c r="C12" s="151"/>
      <c r="D12" s="222">
        <f t="shared" si="7"/>
        <v>34</v>
      </c>
      <c r="E12" s="213">
        <f t="shared" ref="E12:E38" si="9">EDATE(E11,1)</f>
        <v>45744</v>
      </c>
      <c r="F12" s="214">
        <f t="shared" si="0"/>
        <v>1040</v>
      </c>
      <c r="G12" s="141">
        <f>GEMSA!$G$17</f>
        <v>0.02</v>
      </c>
      <c r="H12" s="145">
        <v>3.2099999999999997E-2</v>
      </c>
      <c r="I12" s="144">
        <f t="shared" si="1"/>
        <v>95.147253590150427</v>
      </c>
      <c r="J12" s="190">
        <f t="shared" si="8"/>
        <v>3.3796910924464187</v>
      </c>
      <c r="K12" s="142"/>
      <c r="L12" s="138">
        <f t="shared" si="6"/>
        <v>0.15116462745823078</v>
      </c>
      <c r="M12" s="27">
        <f t="shared" si="4"/>
        <v>3.5308557199046495</v>
      </c>
      <c r="N12" s="27"/>
      <c r="O12" s="160">
        <f t="shared" si="2"/>
        <v>3.4913638552846549</v>
      </c>
      <c r="P12" s="158">
        <f t="shared" si="5"/>
        <v>3.491363855284655E-2</v>
      </c>
    </row>
    <row r="13" spans="1:16" ht="13.8" x14ac:dyDescent="0.3">
      <c r="A13" s="152" t="s">
        <v>15</v>
      </c>
      <c r="B13" s="152"/>
      <c r="C13" s="206">
        <f>+SUMPRODUCT(P5:P38,F5:F38)/O4/365</f>
        <v>3.8696967230060513</v>
      </c>
      <c r="D13" s="222">
        <f t="shared" si="7"/>
        <v>35</v>
      </c>
      <c r="E13" s="213">
        <f t="shared" si="9"/>
        <v>45775</v>
      </c>
      <c r="F13" s="214">
        <f t="shared" si="0"/>
        <v>1071</v>
      </c>
      <c r="G13" s="141">
        <f>GEMSA!$G$17</f>
        <v>0.02</v>
      </c>
      <c r="H13" s="145">
        <v>3.2099999999999997E-2</v>
      </c>
      <c r="I13" s="144">
        <f t="shared" si="1"/>
        <v>91.767562497704006</v>
      </c>
      <c r="J13" s="190">
        <f t="shared" si="8"/>
        <v>3.3796910924464187</v>
      </c>
      <c r="K13" s="142"/>
      <c r="L13" s="138">
        <f t="shared" si="6"/>
        <v>0.16161999239970759</v>
      </c>
      <c r="M13" s="27">
        <f t="shared" si="4"/>
        <v>3.5413110848461264</v>
      </c>
      <c r="N13" s="27"/>
      <c r="O13" s="160">
        <f t="shared" si="2"/>
        <v>3.5005284563013954</v>
      </c>
      <c r="P13" s="158">
        <f t="shared" si="5"/>
        <v>3.5005284563013953E-2</v>
      </c>
    </row>
    <row r="14" spans="1:16" ht="13.8" x14ac:dyDescent="0.3">
      <c r="A14" s="152" t="s">
        <v>16</v>
      </c>
      <c r="B14" s="152"/>
      <c r="C14" s="206">
        <f>+SUMPRODUCT(F5:F38,J5:J38)/J39/365</f>
        <v>3.8821147945205468</v>
      </c>
      <c r="D14" s="222">
        <f t="shared" si="7"/>
        <v>36</v>
      </c>
      <c r="E14" s="213">
        <f t="shared" si="9"/>
        <v>45805</v>
      </c>
      <c r="F14" s="214">
        <f t="shared" si="0"/>
        <v>1101</v>
      </c>
      <c r="G14" s="141">
        <f>GEMSA!$G$17</f>
        <v>0.02</v>
      </c>
      <c r="H14" s="145">
        <v>3.44E-2</v>
      </c>
      <c r="I14" s="144">
        <f t="shared" si="1"/>
        <v>88.145712853462356</v>
      </c>
      <c r="J14" s="190">
        <f t="shared" si="8"/>
        <v>3.6218496442416455</v>
      </c>
      <c r="K14" s="142"/>
      <c r="L14" s="138">
        <f t="shared" si="6"/>
        <v>0.15085078766745863</v>
      </c>
      <c r="M14" s="27">
        <f t="shared" si="4"/>
        <v>3.772700431909104</v>
      </c>
      <c r="N14" s="27"/>
      <c r="O14" s="160">
        <f t="shared" si="2"/>
        <v>3.7280432834619961</v>
      </c>
      <c r="P14" s="158">
        <f t="shared" si="5"/>
        <v>3.7280432834619959E-2</v>
      </c>
    </row>
    <row r="15" spans="1:16" ht="13.8" x14ac:dyDescent="0.3">
      <c r="C15" s="153"/>
      <c r="D15" s="222">
        <f t="shared" si="7"/>
        <v>37</v>
      </c>
      <c r="E15" s="213">
        <f t="shared" si="9"/>
        <v>45836</v>
      </c>
      <c r="F15" s="214">
        <f t="shared" si="0"/>
        <v>1132</v>
      </c>
      <c r="G15" s="141">
        <f>GEMSA!$G$17</f>
        <v>0.02</v>
      </c>
      <c r="H15" s="145">
        <v>3.2599999999999997E-2</v>
      </c>
      <c r="I15" s="144">
        <f t="shared" si="1"/>
        <v>84.713378597582192</v>
      </c>
      <c r="J15" s="190">
        <f t="shared" si="8"/>
        <v>3.4323342558801637</v>
      </c>
      <c r="K15" s="142"/>
      <c r="L15" s="138">
        <f t="shared" si="6"/>
        <v>0.14972696429903196</v>
      </c>
      <c r="M15" s="27">
        <f t="shared" si="4"/>
        <v>3.5820612201791957</v>
      </c>
      <c r="N15" s="27"/>
      <c r="O15" s="160">
        <f t="shared" si="2"/>
        <v>3.5384741054681852</v>
      </c>
      <c r="P15" s="158">
        <f t="shared" si="5"/>
        <v>3.5384741054681854E-2</v>
      </c>
    </row>
    <row r="16" spans="1:16" ht="13.8" x14ac:dyDescent="0.3">
      <c r="D16" s="222">
        <f t="shared" si="7"/>
        <v>38</v>
      </c>
      <c r="E16" s="213">
        <f t="shared" si="9"/>
        <v>45866</v>
      </c>
      <c r="F16" s="214">
        <f t="shared" si="0"/>
        <v>1162</v>
      </c>
      <c r="G16" s="141">
        <f>GEMSA!$G$17</f>
        <v>0.02</v>
      </c>
      <c r="H16" s="145">
        <v>3.3300000000000003E-2</v>
      </c>
      <c r="I16" s="144">
        <f t="shared" si="1"/>
        <v>81.207343912894785</v>
      </c>
      <c r="J16" s="190">
        <f t="shared" si="8"/>
        <v>3.5060346846874069</v>
      </c>
      <c r="K16" s="142"/>
      <c r="L16" s="138">
        <f t="shared" si="6"/>
        <v>0.13925486892753236</v>
      </c>
      <c r="M16" s="27">
        <f t="shared" si="4"/>
        <v>3.6452895536149392</v>
      </c>
      <c r="N16" s="27"/>
      <c r="O16" s="160">
        <f t="shared" si="2"/>
        <v>3.599764911470611</v>
      </c>
      <c r="P16" s="158">
        <f t="shared" si="5"/>
        <v>3.5997649114706112E-2</v>
      </c>
    </row>
    <row r="17" spans="1:16" ht="13.8" x14ac:dyDescent="0.3">
      <c r="D17" s="222">
        <f t="shared" si="7"/>
        <v>39</v>
      </c>
      <c r="E17" s="213">
        <f t="shared" si="9"/>
        <v>45897</v>
      </c>
      <c r="F17" s="214">
        <f t="shared" si="0"/>
        <v>1193</v>
      </c>
      <c r="G17" s="141">
        <f>GEMSA!$G$17</f>
        <v>0.02</v>
      </c>
      <c r="H17" s="145">
        <v>3.2899999999999999E-2</v>
      </c>
      <c r="I17" s="144">
        <f t="shared" si="1"/>
        <v>77.743423758954378</v>
      </c>
      <c r="J17" s="190">
        <f t="shared" si="8"/>
        <v>3.4639201539404105</v>
      </c>
      <c r="K17" s="142"/>
      <c r="L17" s="138">
        <f t="shared" si="6"/>
        <v>0.13794124171505417</v>
      </c>
      <c r="M17" s="27">
        <f t="shared" si="4"/>
        <v>3.6018613956554648</v>
      </c>
      <c r="N17" s="27"/>
      <c r="O17" s="160">
        <f t="shared" ref="O17:O38" si="10">+M17/((1+G17)^(F17/$F$38))</f>
        <v>3.5556867923395084</v>
      </c>
      <c r="P17" s="158">
        <f t="shared" si="5"/>
        <v>3.5556867923395082E-2</v>
      </c>
    </row>
    <row r="18" spans="1:16" ht="13.8" x14ac:dyDescent="0.3">
      <c r="A18" s="28"/>
      <c r="B18" s="28"/>
      <c r="C18" s="28"/>
      <c r="D18" s="222">
        <f t="shared" si="7"/>
        <v>40</v>
      </c>
      <c r="E18" s="213">
        <f t="shared" si="9"/>
        <v>45928</v>
      </c>
      <c r="F18" s="214">
        <f t="shared" si="0"/>
        <v>1224</v>
      </c>
      <c r="G18" s="141">
        <f>GEMSA!$G$17</f>
        <v>0.02</v>
      </c>
      <c r="H18" s="145">
        <v>3.3599999999999998E-2</v>
      </c>
      <c r="I18" s="144">
        <f t="shared" si="1"/>
        <v>74.205803176206729</v>
      </c>
      <c r="J18" s="190">
        <f t="shared" si="8"/>
        <v>3.5376205827476532</v>
      </c>
      <c r="K18" s="142"/>
      <c r="L18" s="138">
        <f t="shared" si="6"/>
        <v>0.13205732254945676</v>
      </c>
      <c r="M18" s="27">
        <f t="shared" si="4"/>
        <v>3.6696779052971098</v>
      </c>
      <c r="N18" s="27"/>
      <c r="O18" s="160">
        <f t="shared" si="10"/>
        <v>3.6214195570468894</v>
      </c>
      <c r="P18" s="158">
        <f t="shared" si="5"/>
        <v>3.6214195570468892E-2</v>
      </c>
    </row>
    <row r="19" spans="1:16" ht="13.8" x14ac:dyDescent="0.3">
      <c r="D19" s="222">
        <f t="shared" si="7"/>
        <v>41</v>
      </c>
      <c r="E19" s="213">
        <f t="shared" si="9"/>
        <v>45958</v>
      </c>
      <c r="F19" s="214">
        <f t="shared" si="0"/>
        <v>1254</v>
      </c>
      <c r="G19" s="141">
        <f>GEMSA!$G$17</f>
        <v>0.02</v>
      </c>
      <c r="H19" s="145">
        <v>3.3099999999999997E-2</v>
      </c>
      <c r="I19" s="144">
        <f t="shared" si="1"/>
        <v>70.720825756892822</v>
      </c>
      <c r="J19" s="190">
        <f t="shared" si="8"/>
        <v>3.4849774193139087</v>
      </c>
      <c r="K19" s="142"/>
      <c r="L19" s="138">
        <f t="shared" si="6"/>
        <v>0.1219821422074631</v>
      </c>
      <c r="M19" s="27">
        <f t="shared" si="4"/>
        <v>3.6069595615213719</v>
      </c>
      <c r="N19" s="27"/>
      <c r="O19" s="160">
        <f t="shared" si="10"/>
        <v>3.5583712731056232</v>
      </c>
      <c r="P19" s="158">
        <f t="shared" si="5"/>
        <v>3.5583712731056233E-2</v>
      </c>
    </row>
    <row r="20" spans="1:16" ht="13.8" x14ac:dyDescent="0.3">
      <c r="D20" s="222">
        <f t="shared" si="7"/>
        <v>42</v>
      </c>
      <c r="E20" s="213">
        <f t="shared" si="9"/>
        <v>45989</v>
      </c>
      <c r="F20" s="214">
        <f t="shared" si="0"/>
        <v>1285</v>
      </c>
      <c r="G20" s="141">
        <f>GEMSA!$G$17</f>
        <v>0.02</v>
      </c>
      <c r="H20" s="145">
        <v>3.3500000000000002E-2</v>
      </c>
      <c r="I20" s="144">
        <f t="shared" si="1"/>
        <v>67.193733806831915</v>
      </c>
      <c r="J20" s="190">
        <f t="shared" si="8"/>
        <v>3.527091950060905</v>
      </c>
      <c r="K20" s="142"/>
      <c r="L20" s="138">
        <f t="shared" si="6"/>
        <v>0.12012852594321521</v>
      </c>
      <c r="M20" s="27">
        <f t="shared" si="4"/>
        <v>3.6472204760041205</v>
      </c>
      <c r="N20" s="27"/>
      <c r="O20" s="160">
        <f t="shared" si="10"/>
        <v>3.5968837112239811</v>
      </c>
      <c r="P20" s="158">
        <f t="shared" si="5"/>
        <v>3.5968837112239811E-2</v>
      </c>
    </row>
    <row r="21" spans="1:16" ht="13.8" x14ac:dyDescent="0.3">
      <c r="D21" s="222">
        <f t="shared" si="7"/>
        <v>43</v>
      </c>
      <c r="E21" s="213">
        <f t="shared" si="9"/>
        <v>46019</v>
      </c>
      <c r="F21" s="214">
        <f t="shared" si="0"/>
        <v>1315</v>
      </c>
      <c r="G21" s="141">
        <f>GEMSA!$G$17</f>
        <v>0.02</v>
      </c>
      <c r="H21" s="145">
        <v>3.4299999999999997E-2</v>
      </c>
      <c r="I21" s="144">
        <f t="shared" si="1"/>
        <v>63.582412795277023</v>
      </c>
      <c r="J21" s="190">
        <f t="shared" si="8"/>
        <v>3.6113210115548959</v>
      </c>
      <c r="K21" s="142"/>
      <c r="L21" s="138">
        <f t="shared" si="6"/>
        <v>0.11045545283314835</v>
      </c>
      <c r="M21" s="27">
        <f t="shared" si="4"/>
        <v>3.7217764643880442</v>
      </c>
      <c r="N21" s="27"/>
      <c r="O21" s="160">
        <f t="shared" si="10"/>
        <v>3.6692200288883328</v>
      </c>
      <c r="P21" s="158">
        <f t="shared" si="5"/>
        <v>3.6692200288883328E-2</v>
      </c>
    </row>
    <row r="22" spans="1:16" ht="15" customHeight="1" x14ac:dyDescent="0.3">
      <c r="D22" s="222">
        <f t="shared" si="7"/>
        <v>44</v>
      </c>
      <c r="E22" s="213">
        <f t="shared" si="9"/>
        <v>46050</v>
      </c>
      <c r="F22" s="214">
        <f t="shared" si="0"/>
        <v>1346</v>
      </c>
      <c r="G22" s="141">
        <f>GEMSA!$G$17</f>
        <v>0.02</v>
      </c>
      <c r="H22" s="145">
        <v>3.3599999999999998E-2</v>
      </c>
      <c r="I22" s="144">
        <f t="shared" si="1"/>
        <v>60.044792212529373</v>
      </c>
      <c r="J22" s="190">
        <f t="shared" si="8"/>
        <v>3.5376205827476532</v>
      </c>
      <c r="K22" s="142"/>
      <c r="L22" s="138">
        <f t="shared" si="6"/>
        <v>0.10800300255636097</v>
      </c>
      <c r="M22" s="27">
        <f t="shared" si="4"/>
        <v>3.6456235853040142</v>
      </c>
      <c r="N22" s="27"/>
      <c r="O22" s="160">
        <f t="shared" si="10"/>
        <v>3.592937719517312</v>
      </c>
      <c r="P22" s="158">
        <f t="shared" si="5"/>
        <v>3.5929377195173119E-2</v>
      </c>
    </row>
    <row r="23" spans="1:16" ht="15" customHeight="1" x14ac:dyDescent="0.3">
      <c r="D23" s="222">
        <f t="shared" si="7"/>
        <v>45</v>
      </c>
      <c r="E23" s="213">
        <f t="shared" si="9"/>
        <v>46081</v>
      </c>
      <c r="F23" s="214">
        <f t="shared" si="0"/>
        <v>1377</v>
      </c>
      <c r="G23" s="141">
        <f>GEMSA!$G$17</f>
        <v>0.02</v>
      </c>
      <c r="H23" s="145">
        <v>3.4599999999999999E-2</v>
      </c>
      <c r="I23" s="144">
        <f t="shared" si="1"/>
        <v>56.401885302914231</v>
      </c>
      <c r="J23" s="190">
        <f t="shared" si="8"/>
        <v>3.6429069096151432</v>
      </c>
      <c r="K23" s="142"/>
      <c r="L23" s="138">
        <f t="shared" si="6"/>
        <v>0.10199389362128278</v>
      </c>
      <c r="M23" s="27">
        <f t="shared" si="4"/>
        <v>3.7449008032364262</v>
      </c>
      <c r="N23" s="27"/>
      <c r="O23" s="160">
        <f t="shared" si="10"/>
        <v>3.6895429971323854</v>
      </c>
      <c r="P23" s="158">
        <f t="shared" si="5"/>
        <v>3.6895429971323855E-2</v>
      </c>
    </row>
    <row r="24" spans="1:16" ht="15" customHeight="1" x14ac:dyDescent="0.3">
      <c r="D24" s="222">
        <f t="shared" si="7"/>
        <v>46</v>
      </c>
      <c r="E24" s="213">
        <f t="shared" si="9"/>
        <v>46109</v>
      </c>
      <c r="F24" s="214">
        <f t="shared" si="0"/>
        <v>1405</v>
      </c>
      <c r="G24" s="141">
        <f>GEMSA!$G$17</f>
        <v>0.02</v>
      </c>
      <c r="H24" s="145">
        <v>3.4200000000000001E-2</v>
      </c>
      <c r="I24" s="144">
        <f t="shared" si="1"/>
        <v>52.801092924046081</v>
      </c>
      <c r="J24" s="190">
        <f t="shared" si="8"/>
        <v>3.6007923788681477</v>
      </c>
      <c r="K24" s="142"/>
      <c r="L24" s="138">
        <f t="shared" si="6"/>
        <v>8.6534399368854723E-2</v>
      </c>
      <c r="M24" s="27">
        <f t="shared" si="4"/>
        <v>3.6873267782370025</v>
      </c>
      <c r="N24" s="27"/>
      <c r="O24" s="160">
        <f t="shared" si="10"/>
        <v>3.6317200977241741</v>
      </c>
      <c r="P24" s="158">
        <f t="shared" si="5"/>
        <v>3.631720097724174E-2</v>
      </c>
    </row>
    <row r="25" spans="1:16" ht="15" customHeight="1" x14ac:dyDescent="0.3">
      <c r="D25" s="222">
        <f t="shared" si="7"/>
        <v>47</v>
      </c>
      <c r="E25" s="213">
        <f t="shared" si="9"/>
        <v>46140</v>
      </c>
      <c r="F25" s="214">
        <f t="shared" si="0"/>
        <v>1436</v>
      </c>
      <c r="G25" s="141">
        <f>GEMSA!$G$17</f>
        <v>0.02</v>
      </c>
      <c r="H25" s="145">
        <v>3.4099999999999998E-2</v>
      </c>
      <c r="I25" s="144">
        <f t="shared" si="1"/>
        <v>49.210829177864682</v>
      </c>
      <c r="J25" s="190">
        <f t="shared" si="8"/>
        <v>3.5902637461813982</v>
      </c>
      <c r="K25" s="142"/>
      <c r="L25" s="138">
        <f t="shared" si="6"/>
        <v>8.9689527706598826E-2</v>
      </c>
      <c r="M25" s="27">
        <f t="shared" si="4"/>
        <v>3.679953273887997</v>
      </c>
      <c r="N25" s="27"/>
      <c r="O25" s="160">
        <f t="shared" si="10"/>
        <v>3.6232428170167053</v>
      </c>
      <c r="P25" s="158">
        <f t="shared" si="5"/>
        <v>3.6232428170167051E-2</v>
      </c>
    </row>
    <row r="26" spans="1:16" ht="15" customHeight="1" x14ac:dyDescent="0.3">
      <c r="D26" s="222">
        <f t="shared" si="7"/>
        <v>48</v>
      </c>
      <c r="E26" s="213">
        <f t="shared" si="9"/>
        <v>46170</v>
      </c>
      <c r="F26" s="214">
        <f t="shared" si="0"/>
        <v>1466</v>
      </c>
      <c r="G26" s="141">
        <f>GEMSA!$G$17</f>
        <v>0.02</v>
      </c>
      <c r="H26" s="145">
        <v>3.61E-2</v>
      </c>
      <c r="I26" s="144">
        <f t="shared" si="1"/>
        <v>45.409992777948304</v>
      </c>
      <c r="J26" s="190">
        <f t="shared" si="8"/>
        <v>3.8008363999163777</v>
      </c>
      <c r="K26" s="142"/>
      <c r="L26" s="138">
        <f t="shared" si="6"/>
        <v>8.0894513717037833E-2</v>
      </c>
      <c r="M26" s="27">
        <f t="shared" si="4"/>
        <v>3.8817309136334157</v>
      </c>
      <c r="N26" s="27"/>
      <c r="O26" s="160">
        <f t="shared" si="10"/>
        <v>3.8206710924618066</v>
      </c>
      <c r="P26" s="158">
        <f t="shared" si="5"/>
        <v>3.8206710924618068E-2</v>
      </c>
    </row>
    <row r="27" spans="1:16" ht="15" customHeight="1" x14ac:dyDescent="0.3">
      <c r="D27" s="222">
        <f t="shared" si="7"/>
        <v>49</v>
      </c>
      <c r="E27" s="213">
        <f t="shared" si="9"/>
        <v>46201</v>
      </c>
      <c r="F27" s="214">
        <f t="shared" si="0"/>
        <v>1497</v>
      </c>
      <c r="G27" s="141">
        <f>GEMSA!$G$17</f>
        <v>0.02</v>
      </c>
      <c r="H27" s="145">
        <v>3.4599999999999999E-2</v>
      </c>
      <c r="I27" s="144">
        <f t="shared" si="1"/>
        <v>41.767085868333162</v>
      </c>
      <c r="J27" s="190">
        <f t="shared" si="8"/>
        <v>3.6429069096151432</v>
      </c>
      <c r="K27" s="142"/>
      <c r="L27" s="138">
        <f t="shared" si="6"/>
        <v>7.7134782252953282E-2</v>
      </c>
      <c r="M27" s="27">
        <f t="shared" si="4"/>
        <v>3.7200416918680963</v>
      </c>
      <c r="N27" s="27"/>
      <c r="O27" s="160">
        <f t="shared" si="10"/>
        <v>3.6602978522761318</v>
      </c>
      <c r="P27" s="158">
        <f t="shared" si="5"/>
        <v>3.6602978522761315E-2</v>
      </c>
    </row>
    <row r="28" spans="1:16" ht="15" customHeight="1" x14ac:dyDescent="0.3">
      <c r="D28" s="222">
        <f t="shared" si="7"/>
        <v>50</v>
      </c>
      <c r="E28" s="213">
        <f t="shared" si="9"/>
        <v>46231</v>
      </c>
      <c r="F28" s="214">
        <f t="shared" si="0"/>
        <v>1527</v>
      </c>
      <c r="G28" s="141">
        <f>GEMSA!$G$17</f>
        <v>0.02</v>
      </c>
      <c r="H28" s="145">
        <v>3.5499999999999997E-2</v>
      </c>
      <c r="I28" s="144">
        <f t="shared" si="1"/>
        <v>38.029421264537277</v>
      </c>
      <c r="J28" s="190">
        <f t="shared" si="8"/>
        <v>3.7376646037958836</v>
      </c>
      <c r="K28" s="142"/>
      <c r="L28" s="138">
        <f t="shared" si="6"/>
        <v>6.8658223345205188E-2</v>
      </c>
      <c r="M28" s="27">
        <f t="shared" si="4"/>
        <v>3.8063228271410887</v>
      </c>
      <c r="N28" s="27"/>
      <c r="O28" s="160">
        <f t="shared" si="10"/>
        <v>3.7439783601199199</v>
      </c>
      <c r="P28" s="158">
        <f t="shared" si="5"/>
        <v>3.7439783601199199E-2</v>
      </c>
    </row>
    <row r="29" spans="1:16" ht="15" customHeight="1" x14ac:dyDescent="0.3">
      <c r="D29" s="222">
        <f t="shared" si="7"/>
        <v>51</v>
      </c>
      <c r="E29" s="213">
        <f t="shared" si="9"/>
        <v>46262</v>
      </c>
      <c r="F29" s="214">
        <f t="shared" si="0"/>
        <v>1558</v>
      </c>
      <c r="G29" s="141">
        <f>GEMSA!$G$17</f>
        <v>0.02</v>
      </c>
      <c r="H29" s="145">
        <v>3.5099999999999999E-2</v>
      </c>
      <c r="I29" s="144">
        <f t="shared" si="1"/>
        <v>34.333871191488392</v>
      </c>
      <c r="J29" s="190">
        <f t="shared" si="8"/>
        <v>3.6955500730488882</v>
      </c>
      <c r="K29" s="142"/>
      <c r="L29" s="138">
        <f t="shared" si="6"/>
        <v>6.4597921052090723E-2</v>
      </c>
      <c r="M29" s="27">
        <f t="shared" si="4"/>
        <v>3.7601479941009788</v>
      </c>
      <c r="N29" s="27"/>
      <c r="O29" s="160">
        <f t="shared" si="10"/>
        <v>3.6973200207270525</v>
      </c>
      <c r="P29" s="158">
        <f t="shared" si="5"/>
        <v>3.6973200207270525E-2</v>
      </c>
    </row>
    <row r="30" spans="1:16" ht="15" customHeight="1" x14ac:dyDescent="0.3">
      <c r="D30" s="222">
        <f t="shared" si="7"/>
        <v>52</v>
      </c>
      <c r="E30" s="213">
        <f t="shared" si="9"/>
        <v>46293</v>
      </c>
      <c r="F30" s="214">
        <f t="shared" si="0"/>
        <v>1589</v>
      </c>
      <c r="G30" s="141">
        <f>GEMSA!$G$17</f>
        <v>0.02</v>
      </c>
      <c r="H30" s="145">
        <v>3.5700000000000003E-2</v>
      </c>
      <c r="I30" s="144">
        <f t="shared" si="1"/>
        <v>30.57514932231901</v>
      </c>
      <c r="J30" s="190">
        <f t="shared" si="8"/>
        <v>3.7587218691693822</v>
      </c>
      <c r="K30" s="142"/>
      <c r="L30" s="138">
        <f t="shared" si="6"/>
        <v>5.8320548325267958E-2</v>
      </c>
      <c r="M30" s="27">
        <f t="shared" si="4"/>
        <v>3.8170424174946502</v>
      </c>
      <c r="N30" s="27"/>
      <c r="O30" s="160">
        <f t="shared" si="10"/>
        <v>3.7520056502488695</v>
      </c>
      <c r="P30" s="158">
        <f t="shared" si="5"/>
        <v>3.7520056502488693E-2</v>
      </c>
    </row>
    <row r="31" spans="1:16" ht="15" customHeight="1" x14ac:dyDescent="0.3">
      <c r="D31" s="222">
        <f t="shared" si="7"/>
        <v>53</v>
      </c>
      <c r="E31" s="213">
        <f t="shared" si="9"/>
        <v>46323</v>
      </c>
      <c r="F31" s="214">
        <f t="shared" si="0"/>
        <v>1619</v>
      </c>
      <c r="G31" s="141">
        <f>GEMSA!$G$17</f>
        <v>0.02</v>
      </c>
      <c r="H31" s="145">
        <v>3.5400000000000001E-2</v>
      </c>
      <c r="I31" s="144">
        <f t="shared" si="1"/>
        <v>26.848013351209875</v>
      </c>
      <c r="J31" s="190">
        <f t="shared" si="8"/>
        <v>3.727135971109135</v>
      </c>
      <c r="K31" s="142"/>
      <c r="L31" s="138">
        <f t="shared" si="6"/>
        <v>5.0260519433949054E-2</v>
      </c>
      <c r="M31" s="27">
        <f t="shared" si="4"/>
        <v>3.7773964905430839</v>
      </c>
      <c r="N31" s="27"/>
      <c r="O31" s="160">
        <f t="shared" si="10"/>
        <v>3.7118307104546293</v>
      </c>
      <c r="P31" s="158">
        <f t="shared" si="5"/>
        <v>3.7118307104546291E-2</v>
      </c>
    </row>
    <row r="32" spans="1:16" ht="15" customHeight="1" x14ac:dyDescent="0.3">
      <c r="D32" s="222">
        <f t="shared" si="7"/>
        <v>54</v>
      </c>
      <c r="E32" s="213">
        <f t="shared" si="9"/>
        <v>46354</v>
      </c>
      <c r="F32" s="214">
        <f t="shared" si="0"/>
        <v>1650</v>
      </c>
      <c r="G32" s="141">
        <f>GEMSA!$G$17</f>
        <v>0.02</v>
      </c>
      <c r="H32" s="145">
        <v>3.5499999999999997E-2</v>
      </c>
      <c r="I32" s="144">
        <f t="shared" si="1"/>
        <v>23.11034874741399</v>
      </c>
      <c r="J32" s="190">
        <f t="shared" si="8"/>
        <v>3.7376646037958836</v>
      </c>
      <c r="K32" s="142"/>
      <c r="L32" s="138">
        <f t="shared" si="6"/>
        <v>4.5604844596575683E-2</v>
      </c>
      <c r="M32" s="27">
        <f t="shared" si="4"/>
        <v>3.7832694483924594</v>
      </c>
      <c r="N32" s="27"/>
      <c r="O32" s="160">
        <f t="shared" si="10"/>
        <v>3.7163555333994438</v>
      </c>
      <c r="P32" s="158">
        <f t="shared" si="5"/>
        <v>3.7163555333994437E-2</v>
      </c>
    </row>
    <row r="33" spans="4:16" ht="15" customHeight="1" x14ac:dyDescent="0.3">
      <c r="D33" s="222">
        <f t="shared" si="7"/>
        <v>55</v>
      </c>
      <c r="E33" s="213">
        <f t="shared" si="9"/>
        <v>46384</v>
      </c>
      <c r="F33" s="214">
        <f t="shared" si="0"/>
        <v>1680</v>
      </c>
      <c r="G33" s="141">
        <f>GEMSA!$G$17</f>
        <v>0.02</v>
      </c>
      <c r="H33" s="145">
        <v>3.61E-2</v>
      </c>
      <c r="I33" s="144">
        <f t="shared" si="1"/>
        <v>19.309512347497613</v>
      </c>
      <c r="J33" s="190">
        <f t="shared" si="8"/>
        <v>3.8008363999163777</v>
      </c>
      <c r="K33" s="142"/>
      <c r="L33" s="138">
        <f t="shared" si="6"/>
        <v>3.7989614379310664E-2</v>
      </c>
      <c r="M33" s="27">
        <f t="shared" si="4"/>
        <v>3.8388260142956883</v>
      </c>
      <c r="N33" s="27"/>
      <c r="O33" s="160">
        <f t="shared" si="10"/>
        <v>3.7697061796642268</v>
      </c>
      <c r="P33" s="158">
        <f t="shared" si="5"/>
        <v>3.769706179664227E-2</v>
      </c>
    </row>
    <row r="34" spans="4:16" ht="15" customHeight="1" x14ac:dyDescent="0.3">
      <c r="D34" s="222">
        <f t="shared" si="7"/>
        <v>56</v>
      </c>
      <c r="E34" s="213">
        <f t="shared" si="9"/>
        <v>46415</v>
      </c>
      <c r="F34" s="214">
        <f t="shared" si="0"/>
        <v>1711</v>
      </c>
      <c r="G34" s="141">
        <f>GEMSA!$G$17</f>
        <v>0.02</v>
      </c>
      <c r="H34" s="145">
        <v>3.5999999999999997E-2</v>
      </c>
      <c r="I34" s="144">
        <f t="shared" si="1"/>
        <v>15.519204580267985</v>
      </c>
      <c r="J34" s="190">
        <f t="shared" si="8"/>
        <v>3.7903077672296286</v>
      </c>
      <c r="K34" s="142"/>
      <c r="L34" s="138">
        <f t="shared" si="6"/>
        <v>3.2799719603968547E-2</v>
      </c>
      <c r="M34" s="27">
        <f t="shared" si="4"/>
        <v>3.8231074868335972</v>
      </c>
      <c r="N34" s="27"/>
      <c r="O34" s="160">
        <f t="shared" si="10"/>
        <v>3.753012183939787</v>
      </c>
      <c r="P34" s="158">
        <f t="shared" si="5"/>
        <v>3.753012183939787E-2</v>
      </c>
    </row>
    <row r="35" spans="4:16" ht="15" customHeight="1" x14ac:dyDescent="0.3">
      <c r="D35" s="222">
        <f t="shared" si="7"/>
        <v>57</v>
      </c>
      <c r="E35" s="213">
        <f t="shared" si="9"/>
        <v>46446</v>
      </c>
      <c r="F35" s="214">
        <f t="shared" si="0"/>
        <v>1742</v>
      </c>
      <c r="G35" s="141">
        <f>GEMSA!$G$17</f>
        <v>0.02</v>
      </c>
      <c r="H35" s="145">
        <v>3.6499999999999998E-2</v>
      </c>
      <c r="I35" s="144">
        <f t="shared" si="1"/>
        <v>11.676253649604611</v>
      </c>
      <c r="J35" s="190">
        <f t="shared" si="8"/>
        <v>3.8429509306633736</v>
      </c>
      <c r="K35" s="142"/>
      <c r="L35" s="138">
        <f t="shared" si="6"/>
        <v>2.6361388602099044E-2</v>
      </c>
      <c r="M35" s="27">
        <f t="shared" si="4"/>
        <v>3.8693123192654726</v>
      </c>
      <c r="N35" s="27"/>
      <c r="O35" s="160">
        <f t="shared" si="10"/>
        <v>3.7970965970460662</v>
      </c>
      <c r="P35" s="158">
        <f t="shared" si="5"/>
        <v>3.7970965970460659E-2</v>
      </c>
    </row>
    <row r="36" spans="4:16" ht="15" customHeight="1" x14ac:dyDescent="0.3">
      <c r="D36" s="222">
        <f t="shared" si="7"/>
        <v>58</v>
      </c>
      <c r="E36" s="213">
        <f t="shared" si="9"/>
        <v>46474</v>
      </c>
      <c r="F36" s="214">
        <f t="shared" si="0"/>
        <v>1770</v>
      </c>
      <c r="G36" s="141">
        <f>GEMSA!$G$17</f>
        <v>0.02</v>
      </c>
      <c r="H36" s="145">
        <v>3.5999999999999997E-2</v>
      </c>
      <c r="I36" s="144">
        <f t="shared" si="1"/>
        <v>7.8859458823749824</v>
      </c>
      <c r="J36" s="190">
        <f t="shared" si="8"/>
        <v>3.7903077672296286</v>
      </c>
      <c r="K36" s="142"/>
      <c r="L36" s="138">
        <f t="shared" si="6"/>
        <v>1.7914252174735842E-2</v>
      </c>
      <c r="M36" s="27">
        <f t="shared" si="4"/>
        <v>3.8082220194043646</v>
      </c>
      <c r="N36" s="27"/>
      <c r="O36" s="160">
        <f t="shared" si="10"/>
        <v>3.736014936751086</v>
      </c>
      <c r="P36" s="158">
        <f t="shared" si="5"/>
        <v>3.7360149367510857E-2</v>
      </c>
    </row>
    <row r="37" spans="4:16" ht="15" customHeight="1" x14ac:dyDescent="0.3">
      <c r="D37" s="222">
        <f t="shared" si="7"/>
        <v>59</v>
      </c>
      <c r="E37" s="213">
        <f t="shared" si="9"/>
        <v>46505</v>
      </c>
      <c r="F37" s="214">
        <f t="shared" si="0"/>
        <v>1801</v>
      </c>
      <c r="G37" s="141">
        <f>GEMSA!$G$17</f>
        <v>0.02</v>
      </c>
      <c r="H37" s="145">
        <v>3.6499999999999998E-2</v>
      </c>
      <c r="I37" s="144">
        <f t="shared" si="1"/>
        <v>4.0429949517116093</v>
      </c>
      <c r="J37" s="190">
        <f t="shared" si="8"/>
        <v>3.8429509306633736</v>
      </c>
      <c r="K37" s="142"/>
      <c r="L37" s="147">
        <f t="shared" si="6"/>
        <v>1.3395305334445176E-2</v>
      </c>
      <c r="M37" s="27">
        <f t="shared" si="4"/>
        <v>3.8563462359978189</v>
      </c>
      <c r="N37" s="27"/>
      <c r="O37" s="163">
        <f t="shared" si="10"/>
        <v>3.7819584837543481</v>
      </c>
      <c r="P37" s="158">
        <f t="shared" si="5"/>
        <v>3.7819584837543482E-2</v>
      </c>
    </row>
    <row r="38" spans="4:16" ht="15" customHeight="1" x14ac:dyDescent="0.3">
      <c r="D38" s="227">
        <f t="shared" si="7"/>
        <v>60</v>
      </c>
      <c r="E38" s="218">
        <f t="shared" si="9"/>
        <v>46535</v>
      </c>
      <c r="F38" s="215">
        <f t="shared" si="0"/>
        <v>1831</v>
      </c>
      <c r="G38" s="154">
        <f>GEMSA!$G$17</f>
        <v>0.02</v>
      </c>
      <c r="H38" s="176">
        <v>3.8399999999999997E-2</v>
      </c>
      <c r="I38" s="156">
        <f t="shared" si="1"/>
        <v>0</v>
      </c>
      <c r="J38" s="193">
        <f t="shared" si="8"/>
        <v>4.0429949517116039</v>
      </c>
      <c r="K38" s="155"/>
      <c r="L38" s="157">
        <f t="shared" si="6"/>
        <v>6.646019098704015E-3</v>
      </c>
      <c r="M38" s="29">
        <f t="shared" si="4"/>
        <v>4.0496409708103078</v>
      </c>
      <c r="N38" s="29"/>
      <c r="O38" s="164">
        <f t="shared" si="10"/>
        <v>3.9702362458924587</v>
      </c>
      <c r="P38" s="165">
        <f t="shared" si="5"/>
        <v>3.9702362458924584E-2</v>
      </c>
    </row>
    <row r="39" spans="4:16" ht="15" customHeight="1" x14ac:dyDescent="0.3">
      <c r="D39" s="179"/>
      <c r="E39" s="180"/>
      <c r="F39" s="180"/>
      <c r="G39" s="180"/>
      <c r="H39" s="194">
        <f>+SUM(H4:H38)</f>
        <v>1</v>
      </c>
      <c r="I39" s="180"/>
      <c r="J39" s="183">
        <f>SUM(J5:J38)</f>
        <v>105.28632686748971</v>
      </c>
      <c r="K39" s="180"/>
      <c r="L39" s="184"/>
      <c r="M39" s="185">
        <f>SUM(M5:M38)</f>
        <v>108.0091864694442</v>
      </c>
      <c r="N39" s="185"/>
      <c r="O39" s="160"/>
    </row>
  </sheetData>
  <sheetProtection algorithmName="SHA-512" hashValue="gpXmz1cek5zJ1ZJHQZ6OnTHyNd5yFQwo1Ws0KUmWpBZyA3P4UkG8URtisiLxmS/mwlCJXrxYvOl2EgndohOZCQ==" saltValue="w9Qp3DX0PqzVJTA6wbFOew==" spinCount="100000" sheet="1" objects="1" scenarios="1" selectLockedCells="1" selectUnlockedCells="1"/>
  <mergeCells count="1">
    <mergeCell ref="A2:C2"/>
  </mergeCells>
  <pageMargins left="0.7" right="0.7" top="0.75" bottom="0.75" header="0.3" footer="0.3"/>
  <pageSetup orientation="portrait" r:id="rId1"/>
  <ignoredErrors>
    <ignoredError sqref="H3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25"/>
  <sheetViews>
    <sheetView workbookViewId="0">
      <selection sqref="A1:XFD1048576"/>
    </sheetView>
  </sheetViews>
  <sheetFormatPr baseColWidth="10" defaultColWidth="14.6640625" defaultRowHeight="12" x14ac:dyDescent="0.3"/>
  <cols>
    <col min="1" max="1" width="22.44140625" style="23" bestFit="1" customWidth="1"/>
    <col min="2" max="2" width="4.88671875" style="23" customWidth="1"/>
    <col min="3" max="3" width="14.33203125" style="23" customWidth="1"/>
    <col min="4" max="4" width="5.6640625" style="23" bestFit="1" customWidth="1"/>
    <col min="5" max="5" width="10" style="23" customWidth="1"/>
    <col min="6" max="6" width="6.6640625" style="23" customWidth="1"/>
    <col min="7" max="7" width="9.5546875" style="23" customWidth="1"/>
    <col min="8" max="8" width="10.33203125" style="23" customWidth="1"/>
    <col min="9" max="9" width="8.44140625" style="23" customWidth="1"/>
    <col min="10" max="10" width="11.5546875" style="23" bestFit="1" customWidth="1"/>
    <col min="11" max="12" width="8.44140625" style="23" customWidth="1"/>
    <col min="13" max="13" width="14.6640625" style="23"/>
    <col min="14" max="14" width="4.6640625" style="23" customWidth="1"/>
    <col min="15" max="16" width="14.6640625" style="158" hidden="1" customWidth="1"/>
    <col min="17" max="16384" width="14.6640625" style="23"/>
  </cols>
  <sheetData>
    <row r="1" spans="1:16" ht="6.75" customHeight="1" x14ac:dyDescent="0.3">
      <c r="A1" s="129"/>
      <c r="B1" s="129"/>
      <c r="C1" s="129"/>
      <c r="D1" s="130"/>
    </row>
    <row r="2" spans="1:16" ht="15" customHeight="1" x14ac:dyDescent="0.3">
      <c r="A2" s="276" t="str">
        <f>+GEMSA!I3</f>
        <v>Dólar Linked / Clase XIX</v>
      </c>
      <c r="B2" s="276"/>
      <c r="C2" s="277"/>
      <c r="D2" s="131" t="s">
        <v>19</v>
      </c>
      <c r="E2" s="178" t="s">
        <v>20</v>
      </c>
      <c r="F2" s="178" t="s">
        <v>21</v>
      </c>
      <c r="G2" s="177" t="s">
        <v>6</v>
      </c>
      <c r="H2" s="177" t="s">
        <v>31</v>
      </c>
      <c r="I2" s="177" t="s">
        <v>33</v>
      </c>
      <c r="J2" s="187" t="s">
        <v>34</v>
      </c>
      <c r="K2" s="177" t="s">
        <v>28</v>
      </c>
      <c r="L2" s="177" t="s">
        <v>0</v>
      </c>
      <c r="M2" s="24" t="s">
        <v>1</v>
      </c>
      <c r="N2" s="24"/>
    </row>
    <row r="3" spans="1:16" s="26" customFormat="1" x14ac:dyDescent="0.3">
      <c r="A3" s="203" t="s">
        <v>2</v>
      </c>
      <c r="B3" s="133"/>
      <c r="C3" s="220">
        <f>GEMSA!J9</f>
        <v>100</v>
      </c>
      <c r="D3" s="134"/>
      <c r="E3" s="135">
        <f>+C4</f>
        <v>44704</v>
      </c>
      <c r="F3" s="136"/>
      <c r="G3" s="136"/>
      <c r="H3" s="229">
        <v>0</v>
      </c>
      <c r="I3" s="137"/>
      <c r="J3" s="188"/>
      <c r="K3" s="137"/>
      <c r="L3" s="138"/>
      <c r="N3" s="25"/>
      <c r="O3" s="158"/>
      <c r="P3" s="158"/>
    </row>
    <row r="4" spans="1:16" ht="13.8" x14ac:dyDescent="0.3">
      <c r="A4" s="44" t="s">
        <v>7</v>
      </c>
      <c r="B4" s="139"/>
      <c r="C4" s="140">
        <f>GEMSA!J6</f>
        <v>44704</v>
      </c>
      <c r="D4" s="222">
        <v>0</v>
      </c>
      <c r="E4" s="217">
        <f>+E3</f>
        <v>44704</v>
      </c>
      <c r="F4" s="214">
        <f>E4-$E$3</f>
        <v>0</v>
      </c>
      <c r="G4" s="141">
        <f>GEMSA!$J$17</f>
        <v>6.5000000000000002E-2</v>
      </c>
      <c r="H4" s="145">
        <v>0</v>
      </c>
      <c r="I4" s="142">
        <f>+C3</f>
        <v>100</v>
      </c>
      <c r="J4" s="27"/>
      <c r="K4" s="142"/>
      <c r="L4" s="138"/>
      <c r="M4" s="143">
        <f>-C3</f>
        <v>-100</v>
      </c>
      <c r="N4" s="27"/>
      <c r="O4" s="159">
        <f>(SUM(O5:O98))/100</f>
        <v>1.4310210272129047</v>
      </c>
    </row>
    <row r="5" spans="1:16" ht="13.8" x14ac:dyDescent="0.3">
      <c r="A5" s="44" t="s">
        <v>8</v>
      </c>
      <c r="B5" s="139"/>
      <c r="C5" s="140">
        <f>+E98</f>
        <v>48362</v>
      </c>
      <c r="D5" s="130">
        <v>6</v>
      </c>
      <c r="E5" s="213">
        <f>EDATE($E$4,D5)</f>
        <v>44888</v>
      </c>
      <c r="F5" s="214">
        <f t="shared" ref="F5:F68" si="0">E5-$E$3</f>
        <v>184</v>
      </c>
      <c r="G5" s="141">
        <f>GEMSA!$J$17</f>
        <v>6.5000000000000002E-2</v>
      </c>
      <c r="H5" s="145">
        <v>0</v>
      </c>
      <c r="I5" s="144">
        <f t="shared" ref="I5:I38" si="1">+I4+K5-J5</f>
        <v>103.27671232876712</v>
      </c>
      <c r="J5" s="189">
        <v>0</v>
      </c>
      <c r="K5" s="142">
        <f>+YEARFRAC(E4,E5,3)*(G5)*I4</f>
        <v>3.2767123287671236</v>
      </c>
      <c r="L5" s="138"/>
      <c r="M5" s="27">
        <f>J5+L5</f>
        <v>0</v>
      </c>
      <c r="N5" s="27"/>
      <c r="O5" s="160">
        <f t="shared" ref="O5:O38" si="2">+M5/((1+G5)^(F5/$F$38))</f>
        <v>0</v>
      </c>
      <c r="P5" s="158">
        <f>O5/100</f>
        <v>0</v>
      </c>
    </row>
    <row r="6" spans="1:16" ht="13.8" x14ac:dyDescent="0.3">
      <c r="A6" s="44" t="s">
        <v>13</v>
      </c>
      <c r="B6" s="139"/>
      <c r="C6" s="145">
        <f>GEMSA!J17</f>
        <v>6.5000000000000002E-2</v>
      </c>
      <c r="D6" s="130">
        <v>12</v>
      </c>
      <c r="E6" s="213">
        <f>EDATE($E$4,D6)</f>
        <v>45069</v>
      </c>
      <c r="F6" s="214">
        <f t="shared" si="0"/>
        <v>365</v>
      </c>
      <c r="G6" s="141">
        <f>GEMSA!$J$17</f>
        <v>6.5000000000000002E-2</v>
      </c>
      <c r="H6" s="145">
        <v>0</v>
      </c>
      <c r="I6" s="144">
        <f t="shared" si="1"/>
        <v>106.60561786451491</v>
      </c>
      <c r="J6" s="189">
        <v>0</v>
      </c>
      <c r="K6" s="142">
        <f t="shared" ref="K6:K9" si="3">+YEARFRAC(E5,E6,3)*(G6)*I5</f>
        <v>3.3289055357477948</v>
      </c>
      <c r="L6" s="138"/>
      <c r="M6" s="27">
        <f t="shared" ref="M6:M38" si="4">J6+L6</f>
        <v>0</v>
      </c>
      <c r="N6" s="27"/>
      <c r="O6" s="160">
        <f t="shared" si="2"/>
        <v>0</v>
      </c>
      <c r="P6" s="158">
        <f t="shared" ref="P6:P38" si="5">O6/100</f>
        <v>0</v>
      </c>
    </row>
    <row r="7" spans="1:16" ht="13.8" x14ac:dyDescent="0.3">
      <c r="A7" s="139"/>
      <c r="B7" s="139"/>
      <c r="C7" s="146"/>
      <c r="D7" s="130">
        <v>18</v>
      </c>
      <c r="E7" s="213">
        <f>EDATE($E$4,D7)</f>
        <v>45253</v>
      </c>
      <c r="F7" s="214">
        <f t="shared" si="0"/>
        <v>549</v>
      </c>
      <c r="G7" s="141">
        <f>GEMSA!$J$17</f>
        <v>6.5000000000000002E-2</v>
      </c>
      <c r="H7" s="145">
        <v>0</v>
      </c>
      <c r="I7" s="144">
        <f t="shared" si="1"/>
        <v>110.09877728823984</v>
      </c>
      <c r="J7" s="189">
        <v>0</v>
      </c>
      <c r="K7" s="142">
        <f t="shared" si="3"/>
        <v>3.4931594237249275</v>
      </c>
      <c r="L7" s="138"/>
      <c r="M7" s="27">
        <f t="shared" si="4"/>
        <v>0</v>
      </c>
      <c r="N7" s="27"/>
      <c r="O7" s="160">
        <f t="shared" si="2"/>
        <v>0</v>
      </c>
      <c r="P7" s="158">
        <f t="shared" si="5"/>
        <v>0</v>
      </c>
    </row>
    <row r="8" spans="1:16" ht="13.8" x14ac:dyDescent="0.3">
      <c r="A8" s="139"/>
      <c r="B8" s="139"/>
      <c r="C8" s="146"/>
      <c r="D8" s="130">
        <v>24</v>
      </c>
      <c r="E8" s="213">
        <f>EDATE($E$4,D8)</f>
        <v>45435</v>
      </c>
      <c r="F8" s="214">
        <f t="shared" si="0"/>
        <v>731</v>
      </c>
      <c r="G8" s="141">
        <f>GEMSA!$J$17</f>
        <v>6.5000000000000002E-2</v>
      </c>
      <c r="H8" s="145">
        <v>0</v>
      </c>
      <c r="I8" s="144">
        <f t="shared" si="1"/>
        <v>113.6671842343217</v>
      </c>
      <c r="J8" s="189">
        <v>0</v>
      </c>
      <c r="K8" s="142">
        <f t="shared" si="3"/>
        <v>3.5684069460818559</v>
      </c>
      <c r="L8" s="138"/>
      <c r="M8" s="27">
        <f t="shared" si="4"/>
        <v>0</v>
      </c>
      <c r="N8" s="27"/>
      <c r="O8" s="160">
        <f t="shared" si="2"/>
        <v>0</v>
      </c>
      <c r="P8" s="158">
        <f t="shared" si="5"/>
        <v>0</v>
      </c>
    </row>
    <row r="9" spans="1:16" ht="13.8" x14ac:dyDescent="0.3">
      <c r="D9" s="130">
        <v>31</v>
      </c>
      <c r="E9" s="218">
        <f>EDATE($E$4,D9)</f>
        <v>45649</v>
      </c>
      <c r="F9" s="215">
        <f t="shared" si="0"/>
        <v>945</v>
      </c>
      <c r="G9" s="154">
        <f>GEMSA!$J$17</f>
        <v>6.5000000000000002E-2</v>
      </c>
      <c r="H9" s="176">
        <v>0</v>
      </c>
      <c r="I9" s="144">
        <f t="shared" si="1"/>
        <v>117.99899391295023</v>
      </c>
      <c r="J9" s="189">
        <v>0</v>
      </c>
      <c r="K9" s="142">
        <f t="shared" si="3"/>
        <v>4.3318096786285345</v>
      </c>
      <c r="L9" s="147"/>
      <c r="M9" s="27">
        <f t="shared" si="4"/>
        <v>0</v>
      </c>
      <c r="N9" s="27"/>
      <c r="O9" s="160">
        <f t="shared" si="2"/>
        <v>0</v>
      </c>
      <c r="P9" s="158">
        <f t="shared" si="5"/>
        <v>0</v>
      </c>
    </row>
    <row r="10" spans="1:16" ht="13.8" x14ac:dyDescent="0.3">
      <c r="A10" s="146" t="s">
        <v>30</v>
      </c>
      <c r="B10" s="146"/>
      <c r="C10" s="145">
        <f>NOMINAL(C11,12)</f>
        <v>6.4656133059703969E-2</v>
      </c>
      <c r="D10" s="223">
        <f>+D9+1</f>
        <v>32</v>
      </c>
      <c r="E10" s="213">
        <v>45685</v>
      </c>
      <c r="F10" s="214">
        <f t="shared" si="0"/>
        <v>981</v>
      </c>
      <c r="G10" s="141">
        <f>GEMSA!$J$17</f>
        <v>6.5000000000000002E-2</v>
      </c>
      <c r="H10" s="145">
        <v>0</v>
      </c>
      <c r="I10" s="149">
        <f>+I9+K10-J10</f>
        <v>117.99899391295023</v>
      </c>
      <c r="J10" s="192">
        <f>H10*$I$9</f>
        <v>0</v>
      </c>
      <c r="K10" s="148"/>
      <c r="L10" s="150">
        <f t="shared" ref="L10:L38" si="6">+YEARFRAC(E9,E10,3)*(G10)*I9</f>
        <v>0.75648670070220148</v>
      </c>
      <c r="M10" s="127">
        <f t="shared" si="4"/>
        <v>0.75648670070220148</v>
      </c>
      <c r="N10" s="127"/>
      <c r="O10" s="161">
        <f t="shared" si="2"/>
        <v>0.73138848985542992</v>
      </c>
      <c r="P10" s="162">
        <f t="shared" si="5"/>
        <v>7.3138848985542992E-3</v>
      </c>
    </row>
    <row r="11" spans="1:16" ht="13.8" x14ac:dyDescent="0.3">
      <c r="A11" s="23" t="s">
        <v>14</v>
      </c>
      <c r="C11" s="145">
        <f>XIRR(M4:M98,E4:E98)</f>
        <v>6.6606989502906805E-2</v>
      </c>
      <c r="D11" s="222">
        <f t="shared" ref="D11:D74" si="7">D10+1</f>
        <v>33</v>
      </c>
      <c r="E11" s="213">
        <f>EDATE(E10,1)</f>
        <v>45716</v>
      </c>
      <c r="F11" s="214">
        <f t="shared" si="0"/>
        <v>1012</v>
      </c>
      <c r="G11" s="141">
        <f>GEMSA!$J$17</f>
        <v>6.5000000000000002E-2</v>
      </c>
      <c r="H11" s="145">
        <v>0</v>
      </c>
      <c r="I11" s="144">
        <f t="shared" si="1"/>
        <v>117.99899391295023</v>
      </c>
      <c r="J11" s="190">
        <f t="shared" ref="J11:J38" si="8">H11*$I$9</f>
        <v>0</v>
      </c>
      <c r="K11" s="142"/>
      <c r="L11" s="138">
        <f t="shared" si="6"/>
        <v>0.65141910338245124</v>
      </c>
      <c r="M11" s="27">
        <f t="shared" si="4"/>
        <v>0.65141910338245124</v>
      </c>
      <c r="N11" s="27"/>
      <c r="O11" s="160">
        <f t="shared" si="2"/>
        <v>0.62913561078153957</v>
      </c>
      <c r="P11" s="158">
        <f t="shared" si="5"/>
        <v>6.2913561078153961E-3</v>
      </c>
    </row>
    <row r="12" spans="1:16" ht="13.8" x14ac:dyDescent="0.3">
      <c r="A12" s="139"/>
      <c r="B12" s="139"/>
      <c r="C12" s="151"/>
      <c r="D12" s="222">
        <f t="shared" si="7"/>
        <v>34</v>
      </c>
      <c r="E12" s="213">
        <f t="shared" ref="E12:E75" si="9">EDATE(E11,1)</f>
        <v>45744</v>
      </c>
      <c r="F12" s="214">
        <f t="shared" si="0"/>
        <v>1040</v>
      </c>
      <c r="G12" s="141">
        <f>GEMSA!$J$17</f>
        <v>6.5000000000000002E-2</v>
      </c>
      <c r="H12" s="145">
        <v>0</v>
      </c>
      <c r="I12" s="144">
        <f t="shared" si="1"/>
        <v>117.99899391295023</v>
      </c>
      <c r="J12" s="190">
        <f t="shared" si="8"/>
        <v>0</v>
      </c>
      <c r="K12" s="142"/>
      <c r="L12" s="138">
        <f t="shared" si="6"/>
        <v>0.58837854499060116</v>
      </c>
      <c r="M12" s="27">
        <f t="shared" si="4"/>
        <v>0.58837854499060116</v>
      </c>
      <c r="N12" s="27"/>
      <c r="O12" s="160">
        <f t="shared" si="2"/>
        <v>0.5677045437783913</v>
      </c>
      <c r="P12" s="158">
        <f t="shared" si="5"/>
        <v>5.6770454377839128E-3</v>
      </c>
    </row>
    <row r="13" spans="1:16" ht="13.8" x14ac:dyDescent="0.3">
      <c r="A13" s="152" t="s">
        <v>15</v>
      </c>
      <c r="B13" s="152"/>
      <c r="C13" s="206">
        <f>+SUMPRODUCT(P5:P98,F5:F98)/O4/365</f>
        <v>6.9853403953711837</v>
      </c>
      <c r="D13" s="222">
        <f t="shared" si="7"/>
        <v>35</v>
      </c>
      <c r="E13" s="213">
        <f t="shared" si="9"/>
        <v>45775</v>
      </c>
      <c r="F13" s="214">
        <f t="shared" si="0"/>
        <v>1071</v>
      </c>
      <c r="G13" s="141">
        <f>GEMSA!$J$17</f>
        <v>6.5000000000000002E-2</v>
      </c>
      <c r="H13" s="145">
        <v>0</v>
      </c>
      <c r="I13" s="144">
        <f t="shared" si="1"/>
        <v>117.99899391295023</v>
      </c>
      <c r="J13" s="190">
        <f t="shared" si="8"/>
        <v>0</v>
      </c>
      <c r="K13" s="142"/>
      <c r="L13" s="138">
        <f t="shared" si="6"/>
        <v>0.65141910338245124</v>
      </c>
      <c r="M13" s="27">
        <f t="shared" si="4"/>
        <v>0.65141910338245124</v>
      </c>
      <c r="N13" s="27"/>
      <c r="O13" s="160">
        <f t="shared" si="2"/>
        <v>0.62786024676290697</v>
      </c>
      <c r="P13" s="158">
        <f t="shared" si="5"/>
        <v>6.2786024676290695E-3</v>
      </c>
    </row>
    <row r="14" spans="1:16" ht="13.8" x14ac:dyDescent="0.3">
      <c r="A14" s="152" t="s">
        <v>16</v>
      </c>
      <c r="B14" s="152"/>
      <c r="C14" s="206">
        <f>+SUMPRODUCT(F5:F98,J5:J98)/J99/365</f>
        <v>7.5770794520547984</v>
      </c>
      <c r="D14" s="222">
        <f t="shared" si="7"/>
        <v>36</v>
      </c>
      <c r="E14" s="213">
        <f t="shared" si="9"/>
        <v>45805</v>
      </c>
      <c r="F14" s="214">
        <f t="shared" si="0"/>
        <v>1101</v>
      </c>
      <c r="G14" s="141">
        <f>GEMSA!$J$17</f>
        <v>6.5000000000000002E-2</v>
      </c>
      <c r="H14" s="145">
        <v>0</v>
      </c>
      <c r="I14" s="144">
        <f t="shared" si="1"/>
        <v>117.99899391295023</v>
      </c>
      <c r="J14" s="190">
        <f t="shared" si="8"/>
        <v>0</v>
      </c>
      <c r="K14" s="142"/>
      <c r="L14" s="138">
        <f t="shared" si="6"/>
        <v>0.63040558391850121</v>
      </c>
      <c r="M14" s="27">
        <f t="shared" si="4"/>
        <v>0.63040558391850121</v>
      </c>
      <c r="N14" s="27"/>
      <c r="O14" s="160">
        <f t="shared" si="2"/>
        <v>0.60698007912879548</v>
      </c>
      <c r="P14" s="158">
        <f t="shared" si="5"/>
        <v>6.0698007912879546E-3</v>
      </c>
    </row>
    <row r="15" spans="1:16" ht="13.8" x14ac:dyDescent="0.3">
      <c r="C15" s="153"/>
      <c r="D15" s="222">
        <f t="shared" si="7"/>
        <v>37</v>
      </c>
      <c r="E15" s="213">
        <f t="shared" si="9"/>
        <v>45836</v>
      </c>
      <c r="F15" s="214">
        <f t="shared" si="0"/>
        <v>1132</v>
      </c>
      <c r="G15" s="141">
        <f>GEMSA!$J$17</f>
        <v>6.5000000000000002E-2</v>
      </c>
      <c r="H15" s="145">
        <v>0</v>
      </c>
      <c r="I15" s="144">
        <f t="shared" si="1"/>
        <v>117.99899391295023</v>
      </c>
      <c r="J15" s="190">
        <f t="shared" si="8"/>
        <v>0</v>
      </c>
      <c r="K15" s="142"/>
      <c r="L15" s="138">
        <f t="shared" si="6"/>
        <v>0.65141910338245124</v>
      </c>
      <c r="M15" s="27">
        <f t="shared" si="4"/>
        <v>0.65141910338245124</v>
      </c>
      <c r="N15" s="27"/>
      <c r="O15" s="160">
        <f t="shared" si="2"/>
        <v>0.62654436832672322</v>
      </c>
      <c r="P15" s="158">
        <f t="shared" si="5"/>
        <v>6.2654436832672326E-3</v>
      </c>
    </row>
    <row r="16" spans="1:16" ht="13.8" x14ac:dyDescent="0.3">
      <c r="D16" s="222">
        <f t="shared" si="7"/>
        <v>38</v>
      </c>
      <c r="E16" s="213">
        <f t="shared" si="9"/>
        <v>45866</v>
      </c>
      <c r="F16" s="214">
        <f t="shared" si="0"/>
        <v>1162</v>
      </c>
      <c r="G16" s="141">
        <f>GEMSA!$J$17</f>
        <v>6.5000000000000002E-2</v>
      </c>
      <c r="H16" s="145">
        <v>0</v>
      </c>
      <c r="I16" s="144">
        <f t="shared" si="1"/>
        <v>117.99899391295023</v>
      </c>
      <c r="J16" s="190">
        <f t="shared" si="8"/>
        <v>0</v>
      </c>
      <c r="K16" s="142"/>
      <c r="L16" s="138">
        <f t="shared" si="6"/>
        <v>0.63040558391850121</v>
      </c>
      <c r="M16" s="27">
        <f t="shared" si="4"/>
        <v>0.63040558391850121</v>
      </c>
      <c r="N16" s="27"/>
      <c r="O16" s="160">
        <f t="shared" si="2"/>
        <v>0.60570796164494989</v>
      </c>
      <c r="P16" s="158">
        <f t="shared" si="5"/>
        <v>6.057079616449499E-3</v>
      </c>
    </row>
    <row r="17" spans="1:16" ht="13.8" x14ac:dyDescent="0.3">
      <c r="D17" s="222">
        <f t="shared" si="7"/>
        <v>39</v>
      </c>
      <c r="E17" s="213">
        <f t="shared" si="9"/>
        <v>45897</v>
      </c>
      <c r="F17" s="214">
        <f t="shared" si="0"/>
        <v>1193</v>
      </c>
      <c r="G17" s="141">
        <f>GEMSA!$J$17</f>
        <v>6.5000000000000002E-2</v>
      </c>
      <c r="H17" s="145">
        <v>0</v>
      </c>
      <c r="I17" s="144">
        <f t="shared" si="1"/>
        <v>117.99899391295023</v>
      </c>
      <c r="J17" s="190">
        <f t="shared" si="8"/>
        <v>0</v>
      </c>
      <c r="K17" s="142"/>
      <c r="L17" s="138">
        <f t="shared" si="6"/>
        <v>0.65141910338245124</v>
      </c>
      <c r="M17" s="27">
        <f t="shared" si="4"/>
        <v>0.65141910338245124</v>
      </c>
      <c r="N17" s="27"/>
      <c r="O17" s="160">
        <f t="shared" si="2"/>
        <v>0.62523124772728378</v>
      </c>
      <c r="P17" s="158">
        <f t="shared" si="5"/>
        <v>6.2523124772728379E-3</v>
      </c>
    </row>
    <row r="18" spans="1:16" ht="13.8" x14ac:dyDescent="0.3">
      <c r="A18" s="28"/>
      <c r="B18" s="28"/>
      <c r="C18" s="28"/>
      <c r="D18" s="222">
        <f t="shared" si="7"/>
        <v>40</v>
      </c>
      <c r="E18" s="213">
        <f t="shared" si="9"/>
        <v>45928</v>
      </c>
      <c r="F18" s="214">
        <f t="shared" si="0"/>
        <v>1224</v>
      </c>
      <c r="G18" s="141">
        <f>GEMSA!$J$17</f>
        <v>6.5000000000000002E-2</v>
      </c>
      <c r="H18" s="145">
        <v>0</v>
      </c>
      <c r="I18" s="144">
        <f t="shared" si="1"/>
        <v>117.99899391295023</v>
      </c>
      <c r="J18" s="190">
        <f t="shared" si="8"/>
        <v>0</v>
      </c>
      <c r="K18" s="142"/>
      <c r="L18" s="138">
        <f t="shared" si="6"/>
        <v>0.65141910338245124</v>
      </c>
      <c r="M18" s="27">
        <f t="shared" si="4"/>
        <v>0.65141910338245124</v>
      </c>
      <c r="N18" s="27"/>
      <c r="O18" s="160">
        <f t="shared" si="2"/>
        <v>0.62456497917821008</v>
      </c>
      <c r="P18" s="158">
        <f t="shared" si="5"/>
        <v>6.2456497917821006E-3</v>
      </c>
    </row>
    <row r="19" spans="1:16" ht="13.8" x14ac:dyDescent="0.3">
      <c r="D19" s="222">
        <f t="shared" si="7"/>
        <v>41</v>
      </c>
      <c r="E19" s="213">
        <f t="shared" si="9"/>
        <v>45958</v>
      </c>
      <c r="F19" s="214">
        <f t="shared" si="0"/>
        <v>1254</v>
      </c>
      <c r="G19" s="141">
        <f>GEMSA!$J$17</f>
        <v>6.5000000000000002E-2</v>
      </c>
      <c r="H19" s="145">
        <v>0</v>
      </c>
      <c r="I19" s="144">
        <f t="shared" si="1"/>
        <v>117.99899391295023</v>
      </c>
      <c r="J19" s="190">
        <f t="shared" si="8"/>
        <v>0</v>
      </c>
      <c r="K19" s="142"/>
      <c r="L19" s="138">
        <f t="shared" si="6"/>
        <v>0.63040558391850121</v>
      </c>
      <c r="M19" s="27">
        <f t="shared" si="4"/>
        <v>0.63040558391850121</v>
      </c>
      <c r="N19" s="27"/>
      <c r="O19" s="160">
        <f t="shared" si="2"/>
        <v>0.60379439921097589</v>
      </c>
      <c r="P19" s="158">
        <f t="shared" si="5"/>
        <v>6.0379439921097585E-3</v>
      </c>
    </row>
    <row r="20" spans="1:16" ht="13.8" x14ac:dyDescent="0.3">
      <c r="D20" s="222">
        <f t="shared" si="7"/>
        <v>42</v>
      </c>
      <c r="E20" s="213">
        <f t="shared" si="9"/>
        <v>45989</v>
      </c>
      <c r="F20" s="214">
        <f t="shared" si="0"/>
        <v>1285</v>
      </c>
      <c r="G20" s="141">
        <f>GEMSA!$J$17</f>
        <v>6.5000000000000002E-2</v>
      </c>
      <c r="H20" s="145">
        <v>0</v>
      </c>
      <c r="I20" s="144">
        <f t="shared" si="1"/>
        <v>117.99899391295023</v>
      </c>
      <c r="J20" s="190">
        <f t="shared" si="8"/>
        <v>0</v>
      </c>
      <c r="K20" s="142"/>
      <c r="L20" s="138">
        <f t="shared" si="6"/>
        <v>0.65141910338245124</v>
      </c>
      <c r="M20" s="27">
        <f t="shared" si="4"/>
        <v>0.65141910338245124</v>
      </c>
      <c r="N20" s="27"/>
      <c r="O20" s="160">
        <f t="shared" si="2"/>
        <v>0.62325600701070394</v>
      </c>
      <c r="P20" s="158">
        <f t="shared" si="5"/>
        <v>6.2325600701070398E-3</v>
      </c>
    </row>
    <row r="21" spans="1:16" ht="13.8" x14ac:dyDescent="0.3">
      <c r="D21" s="222">
        <f t="shared" si="7"/>
        <v>43</v>
      </c>
      <c r="E21" s="213">
        <f t="shared" si="9"/>
        <v>46019</v>
      </c>
      <c r="F21" s="214">
        <f t="shared" si="0"/>
        <v>1315</v>
      </c>
      <c r="G21" s="141">
        <f>GEMSA!$J$17</f>
        <v>6.5000000000000002E-2</v>
      </c>
      <c r="H21" s="145">
        <v>0</v>
      </c>
      <c r="I21" s="144">
        <f t="shared" si="1"/>
        <v>117.99899391295023</v>
      </c>
      <c r="J21" s="190">
        <f t="shared" si="8"/>
        <v>0</v>
      </c>
      <c r="K21" s="142"/>
      <c r="L21" s="138">
        <f t="shared" si="6"/>
        <v>0.63040558391850121</v>
      </c>
      <c r="M21" s="27">
        <f t="shared" si="4"/>
        <v>0.63040558391850121</v>
      </c>
      <c r="N21" s="27"/>
      <c r="O21" s="160">
        <f t="shared" si="2"/>
        <v>0.60252895832041686</v>
      </c>
      <c r="P21" s="158">
        <f t="shared" si="5"/>
        <v>6.0252895832041686E-3</v>
      </c>
    </row>
    <row r="22" spans="1:16" ht="15" customHeight="1" x14ac:dyDescent="0.3">
      <c r="D22" s="222">
        <f t="shared" si="7"/>
        <v>44</v>
      </c>
      <c r="E22" s="213">
        <f t="shared" si="9"/>
        <v>46050</v>
      </c>
      <c r="F22" s="214">
        <f t="shared" si="0"/>
        <v>1346</v>
      </c>
      <c r="G22" s="141">
        <f>GEMSA!$J$17</f>
        <v>6.5000000000000002E-2</v>
      </c>
      <c r="H22" s="145">
        <v>0</v>
      </c>
      <c r="I22" s="144">
        <f t="shared" si="1"/>
        <v>117.99899391295023</v>
      </c>
      <c r="J22" s="190">
        <f t="shared" si="8"/>
        <v>0</v>
      </c>
      <c r="K22" s="142"/>
      <c r="L22" s="138">
        <f t="shared" si="6"/>
        <v>0.65141910338245124</v>
      </c>
      <c r="M22" s="27">
        <f t="shared" si="4"/>
        <v>0.65141910338245124</v>
      </c>
      <c r="N22" s="27"/>
      <c r="O22" s="160">
        <f t="shared" si="2"/>
        <v>0.62194977820568598</v>
      </c>
      <c r="P22" s="158">
        <f t="shared" si="5"/>
        <v>6.2194977820568594E-3</v>
      </c>
    </row>
    <row r="23" spans="1:16" ht="15" customHeight="1" x14ac:dyDescent="0.3">
      <c r="D23" s="222">
        <f t="shared" si="7"/>
        <v>45</v>
      </c>
      <c r="E23" s="213">
        <f t="shared" si="9"/>
        <v>46081</v>
      </c>
      <c r="F23" s="214">
        <f t="shared" si="0"/>
        <v>1377</v>
      </c>
      <c r="G23" s="141">
        <f>GEMSA!$J$17</f>
        <v>6.5000000000000002E-2</v>
      </c>
      <c r="H23" s="145">
        <v>0</v>
      </c>
      <c r="I23" s="144">
        <f t="shared" si="1"/>
        <v>117.99899391295023</v>
      </c>
      <c r="J23" s="190">
        <f t="shared" si="8"/>
        <v>0</v>
      </c>
      <c r="K23" s="142"/>
      <c r="L23" s="138">
        <f t="shared" si="6"/>
        <v>0.65141910338245124</v>
      </c>
      <c r="M23" s="27">
        <f t="shared" si="4"/>
        <v>0.65141910338245124</v>
      </c>
      <c r="N23" s="27"/>
      <c r="O23" s="160">
        <f t="shared" si="2"/>
        <v>0.62128700650668978</v>
      </c>
      <c r="P23" s="158">
        <f t="shared" si="5"/>
        <v>6.2128700650668977E-3</v>
      </c>
    </row>
    <row r="24" spans="1:16" ht="15" customHeight="1" x14ac:dyDescent="0.3">
      <c r="D24" s="222">
        <f t="shared" si="7"/>
        <v>46</v>
      </c>
      <c r="E24" s="213">
        <f t="shared" si="9"/>
        <v>46109</v>
      </c>
      <c r="F24" s="214">
        <f t="shared" si="0"/>
        <v>1405</v>
      </c>
      <c r="G24" s="141">
        <f>GEMSA!$J$17</f>
        <v>6.5000000000000002E-2</v>
      </c>
      <c r="H24" s="145">
        <v>0</v>
      </c>
      <c r="I24" s="144">
        <f t="shared" si="1"/>
        <v>117.99899391295023</v>
      </c>
      <c r="J24" s="190">
        <f t="shared" si="8"/>
        <v>0</v>
      </c>
      <c r="K24" s="142"/>
      <c r="L24" s="138">
        <f t="shared" si="6"/>
        <v>0.58837854499060116</v>
      </c>
      <c r="M24" s="27">
        <f t="shared" si="4"/>
        <v>0.58837854499060116</v>
      </c>
      <c r="N24" s="27"/>
      <c r="O24" s="160">
        <f t="shared" si="2"/>
        <v>0.56062230549336456</v>
      </c>
      <c r="P24" s="158">
        <f t="shared" si="5"/>
        <v>5.6062230549336458E-3</v>
      </c>
    </row>
    <row r="25" spans="1:16" ht="15" customHeight="1" x14ac:dyDescent="0.3">
      <c r="D25" s="222">
        <f t="shared" si="7"/>
        <v>47</v>
      </c>
      <c r="E25" s="213">
        <f t="shared" si="9"/>
        <v>46140</v>
      </c>
      <c r="F25" s="214">
        <f t="shared" si="0"/>
        <v>1436</v>
      </c>
      <c r="G25" s="141">
        <f>GEMSA!$J$17</f>
        <v>6.5000000000000002E-2</v>
      </c>
      <c r="H25" s="145">
        <v>0</v>
      </c>
      <c r="I25" s="144">
        <f t="shared" si="1"/>
        <v>117.99899391295023</v>
      </c>
      <c r="J25" s="190">
        <f t="shared" si="8"/>
        <v>0</v>
      </c>
      <c r="K25" s="142"/>
      <c r="L25" s="138">
        <f t="shared" si="6"/>
        <v>0.65141910338245124</v>
      </c>
      <c r="M25" s="27">
        <f t="shared" si="4"/>
        <v>0.65141910338245124</v>
      </c>
      <c r="N25" s="27"/>
      <c r="O25" s="160">
        <f t="shared" si="2"/>
        <v>0.62002755293298684</v>
      </c>
      <c r="P25" s="158">
        <f t="shared" si="5"/>
        <v>6.200275529329868E-3</v>
      </c>
    </row>
    <row r="26" spans="1:16" ht="15" customHeight="1" x14ac:dyDescent="0.3">
      <c r="D26" s="222">
        <f t="shared" si="7"/>
        <v>48</v>
      </c>
      <c r="E26" s="213">
        <f t="shared" si="9"/>
        <v>46170</v>
      </c>
      <c r="F26" s="214">
        <f t="shared" si="0"/>
        <v>1466</v>
      </c>
      <c r="G26" s="141">
        <f>GEMSA!$J$17</f>
        <v>6.5000000000000002E-2</v>
      </c>
      <c r="H26" s="145">
        <v>0</v>
      </c>
      <c r="I26" s="144">
        <f t="shared" si="1"/>
        <v>117.99899391295023</v>
      </c>
      <c r="J26" s="190">
        <f t="shared" si="8"/>
        <v>0</v>
      </c>
      <c r="K26" s="142"/>
      <c r="L26" s="138">
        <f t="shared" si="6"/>
        <v>0.63040558391850121</v>
      </c>
      <c r="M26" s="27">
        <f t="shared" si="4"/>
        <v>0.63040558391850121</v>
      </c>
      <c r="N26" s="27"/>
      <c r="O26" s="160">
        <f t="shared" si="2"/>
        <v>0.59940786995455897</v>
      </c>
      <c r="P26" s="158">
        <f t="shared" si="5"/>
        <v>5.9940786995455898E-3</v>
      </c>
    </row>
    <row r="27" spans="1:16" ht="15" customHeight="1" x14ac:dyDescent="0.3">
      <c r="D27" s="222">
        <f t="shared" si="7"/>
        <v>49</v>
      </c>
      <c r="E27" s="213">
        <f t="shared" si="9"/>
        <v>46201</v>
      </c>
      <c r="F27" s="214">
        <f t="shared" si="0"/>
        <v>1497</v>
      </c>
      <c r="G27" s="141">
        <f>GEMSA!$J$17</f>
        <v>6.5000000000000002E-2</v>
      </c>
      <c r="H27" s="145">
        <v>0</v>
      </c>
      <c r="I27" s="144">
        <f t="shared" si="1"/>
        <v>117.99899391295023</v>
      </c>
      <c r="J27" s="190">
        <f t="shared" si="8"/>
        <v>0</v>
      </c>
      <c r="K27" s="142"/>
      <c r="L27" s="138">
        <f t="shared" si="6"/>
        <v>0.65141910338245124</v>
      </c>
      <c r="M27" s="27">
        <f t="shared" si="4"/>
        <v>0.65141910338245124</v>
      </c>
      <c r="N27" s="27"/>
      <c r="O27" s="160">
        <f t="shared" si="2"/>
        <v>0.61872809036794818</v>
      </c>
      <c r="P27" s="158">
        <f t="shared" si="5"/>
        <v>6.1872809036794818E-3</v>
      </c>
    </row>
    <row r="28" spans="1:16" ht="15" customHeight="1" x14ac:dyDescent="0.3">
      <c r="D28" s="222">
        <f t="shared" si="7"/>
        <v>50</v>
      </c>
      <c r="E28" s="213">
        <f t="shared" si="9"/>
        <v>46231</v>
      </c>
      <c r="F28" s="214">
        <f t="shared" si="0"/>
        <v>1527</v>
      </c>
      <c r="G28" s="141">
        <f>GEMSA!$J$17</f>
        <v>6.5000000000000002E-2</v>
      </c>
      <c r="H28" s="145">
        <v>0</v>
      </c>
      <c r="I28" s="144">
        <f t="shared" si="1"/>
        <v>117.99899391295023</v>
      </c>
      <c r="J28" s="190">
        <f t="shared" si="8"/>
        <v>0</v>
      </c>
      <c r="K28" s="142"/>
      <c r="L28" s="138">
        <f t="shared" si="6"/>
        <v>0.63040558391850121</v>
      </c>
      <c r="M28" s="27">
        <f t="shared" si="4"/>
        <v>0.63040558391850121</v>
      </c>
      <c r="N28" s="27"/>
      <c r="O28" s="160">
        <f t="shared" si="2"/>
        <v>0.59815162241441189</v>
      </c>
      <c r="P28" s="158">
        <f t="shared" si="5"/>
        <v>5.9815162241441192E-3</v>
      </c>
    </row>
    <row r="29" spans="1:16" ht="15" customHeight="1" x14ac:dyDescent="0.3">
      <c r="D29" s="222">
        <f t="shared" si="7"/>
        <v>51</v>
      </c>
      <c r="E29" s="213">
        <f t="shared" si="9"/>
        <v>46262</v>
      </c>
      <c r="F29" s="214">
        <f t="shared" si="0"/>
        <v>1558</v>
      </c>
      <c r="G29" s="141">
        <f>GEMSA!$J$17</f>
        <v>6.5000000000000002E-2</v>
      </c>
      <c r="H29" s="145">
        <v>0</v>
      </c>
      <c r="I29" s="144">
        <f t="shared" si="1"/>
        <v>117.99899391295023</v>
      </c>
      <c r="J29" s="190">
        <f t="shared" si="8"/>
        <v>0</v>
      </c>
      <c r="K29" s="142"/>
      <c r="L29" s="138">
        <f t="shared" si="6"/>
        <v>0.65141910338245124</v>
      </c>
      <c r="M29" s="27">
        <f t="shared" si="4"/>
        <v>0.65141910338245124</v>
      </c>
      <c r="N29" s="27"/>
      <c r="O29" s="160">
        <f t="shared" si="2"/>
        <v>0.61743135123503756</v>
      </c>
      <c r="P29" s="158">
        <f t="shared" si="5"/>
        <v>6.1743135123503755E-3</v>
      </c>
    </row>
    <row r="30" spans="1:16" ht="15" customHeight="1" x14ac:dyDescent="0.3">
      <c r="D30" s="222">
        <f t="shared" si="7"/>
        <v>52</v>
      </c>
      <c r="E30" s="213">
        <f t="shared" si="9"/>
        <v>46293</v>
      </c>
      <c r="F30" s="214">
        <f t="shared" si="0"/>
        <v>1589</v>
      </c>
      <c r="G30" s="141">
        <f>GEMSA!$J$17</f>
        <v>6.5000000000000002E-2</v>
      </c>
      <c r="H30" s="145">
        <v>0</v>
      </c>
      <c r="I30" s="144">
        <f t="shared" si="1"/>
        <v>117.99899391295023</v>
      </c>
      <c r="J30" s="190">
        <f t="shared" si="8"/>
        <v>0</v>
      </c>
      <c r="K30" s="142"/>
      <c r="L30" s="138">
        <f t="shared" si="6"/>
        <v>0.65141910338245124</v>
      </c>
      <c r="M30" s="27">
        <f t="shared" si="4"/>
        <v>0.65141910338245124</v>
      </c>
      <c r="N30" s="27"/>
      <c r="O30" s="160">
        <f t="shared" si="2"/>
        <v>0.6167733945317615</v>
      </c>
      <c r="P30" s="158">
        <f t="shared" si="5"/>
        <v>6.1677339453176149E-3</v>
      </c>
    </row>
    <row r="31" spans="1:16" ht="15" customHeight="1" x14ac:dyDescent="0.3">
      <c r="D31" s="222">
        <f t="shared" si="7"/>
        <v>53</v>
      </c>
      <c r="E31" s="213">
        <f t="shared" si="9"/>
        <v>46323</v>
      </c>
      <c r="F31" s="214">
        <f t="shared" si="0"/>
        <v>1619</v>
      </c>
      <c r="G31" s="141">
        <f>GEMSA!$J$17</f>
        <v>6.5000000000000002E-2</v>
      </c>
      <c r="H31" s="145">
        <v>0</v>
      </c>
      <c r="I31" s="144">
        <f t="shared" si="1"/>
        <v>117.99899391295023</v>
      </c>
      <c r="J31" s="190">
        <f t="shared" si="8"/>
        <v>0</v>
      </c>
      <c r="K31" s="142"/>
      <c r="L31" s="138">
        <f t="shared" si="6"/>
        <v>0.63040558391850121</v>
      </c>
      <c r="M31" s="27">
        <f t="shared" si="4"/>
        <v>0.63040558391850121</v>
      </c>
      <c r="N31" s="27"/>
      <c r="O31" s="160">
        <f t="shared" si="2"/>
        <v>0.59626193209011025</v>
      </c>
      <c r="P31" s="158">
        <f t="shared" si="5"/>
        <v>5.9626193209011023E-3</v>
      </c>
    </row>
    <row r="32" spans="1:16" ht="15" customHeight="1" x14ac:dyDescent="0.3">
      <c r="D32" s="222">
        <f t="shared" si="7"/>
        <v>54</v>
      </c>
      <c r="E32" s="213">
        <f t="shared" si="9"/>
        <v>46354</v>
      </c>
      <c r="F32" s="214">
        <f t="shared" si="0"/>
        <v>1650</v>
      </c>
      <c r="G32" s="141">
        <f>GEMSA!$J$17</f>
        <v>6.5000000000000002E-2</v>
      </c>
      <c r="H32" s="145">
        <v>0</v>
      </c>
      <c r="I32" s="144">
        <f t="shared" si="1"/>
        <v>117.99899391295023</v>
      </c>
      <c r="J32" s="190">
        <f t="shared" si="8"/>
        <v>0</v>
      </c>
      <c r="K32" s="142"/>
      <c r="L32" s="138">
        <f t="shared" si="6"/>
        <v>0.65141910338245124</v>
      </c>
      <c r="M32" s="27">
        <f t="shared" si="4"/>
        <v>0.65141910338245124</v>
      </c>
      <c r="N32" s="27"/>
      <c r="O32" s="160">
        <f t="shared" si="2"/>
        <v>0.61548075207818898</v>
      </c>
      <c r="P32" s="158">
        <f t="shared" si="5"/>
        <v>6.1548075207818898E-3</v>
      </c>
    </row>
    <row r="33" spans="4:16" ht="15" customHeight="1" x14ac:dyDescent="0.3">
      <c r="D33" s="222">
        <f t="shared" si="7"/>
        <v>55</v>
      </c>
      <c r="E33" s="213">
        <f t="shared" si="9"/>
        <v>46384</v>
      </c>
      <c r="F33" s="214">
        <f t="shared" si="0"/>
        <v>1680</v>
      </c>
      <c r="G33" s="141">
        <f>GEMSA!$J$17</f>
        <v>6.5000000000000002E-2</v>
      </c>
      <c r="H33" s="145">
        <v>0</v>
      </c>
      <c r="I33" s="144">
        <f t="shared" si="1"/>
        <v>117.99899391295023</v>
      </c>
      <c r="J33" s="190">
        <f t="shared" si="8"/>
        <v>0</v>
      </c>
      <c r="K33" s="142"/>
      <c r="L33" s="138">
        <f t="shared" si="6"/>
        <v>0.63040558391850121</v>
      </c>
      <c r="M33" s="27">
        <f t="shared" si="4"/>
        <v>0.63040558391850121</v>
      </c>
      <c r="N33" s="27"/>
      <c r="O33" s="160">
        <f t="shared" si="2"/>
        <v>0.59501227785128907</v>
      </c>
      <c r="P33" s="158">
        <f t="shared" si="5"/>
        <v>5.9501227785128908E-3</v>
      </c>
    </row>
    <row r="34" spans="4:16" ht="15" customHeight="1" x14ac:dyDescent="0.3">
      <c r="D34" s="222">
        <f t="shared" si="7"/>
        <v>56</v>
      </c>
      <c r="E34" s="213">
        <f t="shared" si="9"/>
        <v>46415</v>
      </c>
      <c r="F34" s="214">
        <f t="shared" si="0"/>
        <v>1711</v>
      </c>
      <c r="G34" s="141">
        <f>GEMSA!$J$17</f>
        <v>6.5000000000000002E-2</v>
      </c>
      <c r="H34" s="145">
        <v>0</v>
      </c>
      <c r="I34" s="144">
        <f t="shared" si="1"/>
        <v>117.99899391295023</v>
      </c>
      <c r="J34" s="190">
        <f t="shared" si="8"/>
        <v>0</v>
      </c>
      <c r="K34" s="142"/>
      <c r="L34" s="138">
        <f t="shared" si="6"/>
        <v>0.65141910338245124</v>
      </c>
      <c r="M34" s="27">
        <f t="shared" si="4"/>
        <v>0.65141910338245124</v>
      </c>
      <c r="N34" s="27"/>
      <c r="O34" s="160">
        <f t="shared" si="2"/>
        <v>0.61419081876305781</v>
      </c>
      <c r="P34" s="158">
        <f t="shared" si="5"/>
        <v>6.1419081876305784E-3</v>
      </c>
    </row>
    <row r="35" spans="4:16" ht="15" customHeight="1" x14ac:dyDescent="0.3">
      <c r="D35" s="222">
        <f t="shared" si="7"/>
        <v>57</v>
      </c>
      <c r="E35" s="213">
        <f t="shared" si="9"/>
        <v>46446</v>
      </c>
      <c r="F35" s="214">
        <f t="shared" si="0"/>
        <v>1742</v>
      </c>
      <c r="G35" s="141">
        <f>GEMSA!$J$17</f>
        <v>6.5000000000000002E-2</v>
      </c>
      <c r="H35" s="145">
        <v>0</v>
      </c>
      <c r="I35" s="144">
        <f t="shared" si="1"/>
        <v>117.99899391295023</v>
      </c>
      <c r="J35" s="190">
        <f t="shared" si="8"/>
        <v>0</v>
      </c>
      <c r="K35" s="142"/>
      <c r="L35" s="138">
        <f t="shared" si="6"/>
        <v>0.65141910338245124</v>
      </c>
      <c r="M35" s="27">
        <f t="shared" si="4"/>
        <v>0.65141910338245124</v>
      </c>
      <c r="N35" s="27"/>
      <c r="O35" s="160">
        <f t="shared" si="2"/>
        <v>0.61353631528588981</v>
      </c>
      <c r="P35" s="158">
        <f t="shared" si="5"/>
        <v>6.1353631528588979E-3</v>
      </c>
    </row>
    <row r="36" spans="4:16" ht="15" customHeight="1" x14ac:dyDescent="0.3">
      <c r="D36" s="222">
        <f t="shared" si="7"/>
        <v>58</v>
      </c>
      <c r="E36" s="213">
        <f t="shared" si="9"/>
        <v>46474</v>
      </c>
      <c r="F36" s="214">
        <f t="shared" si="0"/>
        <v>1770</v>
      </c>
      <c r="G36" s="141">
        <f>GEMSA!$J$17</f>
        <v>6.5000000000000002E-2</v>
      </c>
      <c r="H36" s="145">
        <v>0</v>
      </c>
      <c r="I36" s="144">
        <f t="shared" si="1"/>
        <v>117.99899391295023</v>
      </c>
      <c r="J36" s="190">
        <f t="shared" si="8"/>
        <v>0</v>
      </c>
      <c r="K36" s="142"/>
      <c r="L36" s="138">
        <f t="shared" si="6"/>
        <v>0.58837854499060116</v>
      </c>
      <c r="M36" s="27">
        <f t="shared" si="4"/>
        <v>0.58837854499060116</v>
      </c>
      <c r="N36" s="27"/>
      <c r="O36" s="160">
        <f t="shared" si="2"/>
        <v>0.55362841967913545</v>
      </c>
      <c r="P36" s="158">
        <f t="shared" si="5"/>
        <v>5.5362841967913547E-3</v>
      </c>
    </row>
    <row r="37" spans="4:16" ht="15" customHeight="1" x14ac:dyDescent="0.3">
      <c r="D37" s="222">
        <f t="shared" si="7"/>
        <v>59</v>
      </c>
      <c r="E37" s="213">
        <f t="shared" si="9"/>
        <v>46505</v>
      </c>
      <c r="F37" s="214">
        <f t="shared" si="0"/>
        <v>1801</v>
      </c>
      <c r="G37" s="141">
        <f>GEMSA!$J$17</f>
        <v>6.5000000000000002E-2</v>
      </c>
      <c r="H37" s="145">
        <v>0</v>
      </c>
      <c r="I37" s="144">
        <f t="shared" si="1"/>
        <v>117.99899391295023</v>
      </c>
      <c r="J37" s="190">
        <f t="shared" si="8"/>
        <v>0</v>
      </c>
      <c r="K37" s="142"/>
      <c r="L37" s="138">
        <f t="shared" si="6"/>
        <v>0.65141910338245124</v>
      </c>
      <c r="M37" s="27">
        <f t="shared" si="4"/>
        <v>0.65141910338245124</v>
      </c>
      <c r="N37" s="27"/>
      <c r="O37" s="163">
        <f t="shared" si="2"/>
        <v>0.61229257367083822</v>
      </c>
      <c r="P37" s="158">
        <f t="shared" si="5"/>
        <v>6.1229257367083822E-3</v>
      </c>
    </row>
    <row r="38" spans="4:16" ht="15" customHeight="1" x14ac:dyDescent="0.3">
      <c r="D38" s="222">
        <f t="shared" si="7"/>
        <v>60</v>
      </c>
      <c r="E38" s="213">
        <f t="shared" si="9"/>
        <v>46535</v>
      </c>
      <c r="F38" s="214">
        <f t="shared" si="0"/>
        <v>1831</v>
      </c>
      <c r="G38" s="141">
        <f>GEMSA!$J$17</f>
        <v>6.5000000000000002E-2</v>
      </c>
      <c r="H38" s="145">
        <v>0</v>
      </c>
      <c r="I38" s="144">
        <f t="shared" si="1"/>
        <v>117.99899391295023</v>
      </c>
      <c r="J38" s="190">
        <f t="shared" si="8"/>
        <v>0</v>
      </c>
      <c r="K38" s="142"/>
      <c r="L38" s="138">
        <f t="shared" si="6"/>
        <v>0.63040558391850121</v>
      </c>
      <c r="M38" s="27">
        <f t="shared" si="4"/>
        <v>0.63040558391850121</v>
      </c>
      <c r="N38" s="27"/>
      <c r="O38" s="163">
        <f t="shared" si="2"/>
        <v>0.59193012574507164</v>
      </c>
      <c r="P38" s="158">
        <f t="shared" si="5"/>
        <v>5.9193012574507162E-3</v>
      </c>
    </row>
    <row r="39" spans="4:16" ht="15" customHeight="1" x14ac:dyDescent="0.3">
      <c r="D39" s="222">
        <f t="shared" si="7"/>
        <v>61</v>
      </c>
      <c r="E39" s="213">
        <f t="shared" si="9"/>
        <v>46566</v>
      </c>
      <c r="F39" s="214">
        <f t="shared" si="0"/>
        <v>1862</v>
      </c>
      <c r="G39" s="141">
        <f>GEMSA!$J$17</f>
        <v>6.5000000000000002E-2</v>
      </c>
      <c r="H39" s="145">
        <v>1.4999999999999999E-2</v>
      </c>
      <c r="I39" s="144">
        <f t="shared" ref="I39:I98" si="10">+I38+K39-J39</f>
        <v>116.22900900425597</v>
      </c>
      <c r="J39" s="190">
        <f t="shared" ref="J39:J98" si="11">H39*$I$9</f>
        <v>1.7699849086942534</v>
      </c>
      <c r="K39" s="142"/>
      <c r="L39" s="138">
        <f t="shared" ref="L39:L98" si="12">+YEARFRAC(E38,E39,3)*(G39)*I38</f>
        <v>0.65141910338245124</v>
      </c>
      <c r="M39" s="27">
        <f t="shared" ref="M39:M98" si="13">J39+L39</f>
        <v>2.4214040120767049</v>
      </c>
      <c r="N39" s="27"/>
      <c r="O39" s="163">
        <f t="shared" ref="O39:O98" si="14">+M39/((1+G39)^(F39/$F$38))</f>
        <v>2.2711959420190442</v>
      </c>
      <c r="P39" s="158">
        <f t="shared" ref="P39:P98" si="15">O39/100</f>
        <v>2.2711959420190442E-2</v>
      </c>
    </row>
    <row r="40" spans="4:16" ht="13.8" x14ac:dyDescent="0.3">
      <c r="D40" s="222">
        <f t="shared" si="7"/>
        <v>62</v>
      </c>
      <c r="E40" s="213">
        <f t="shared" si="9"/>
        <v>46596</v>
      </c>
      <c r="F40" s="214">
        <f t="shared" si="0"/>
        <v>1892</v>
      </c>
      <c r="G40" s="141">
        <f>GEMSA!$J$17</f>
        <v>6.5000000000000002E-2</v>
      </c>
      <c r="H40" s="145">
        <v>1.4999999999999999E-2</v>
      </c>
      <c r="I40" s="144">
        <f t="shared" si="10"/>
        <v>114.45902409556172</v>
      </c>
      <c r="J40" s="190">
        <f t="shared" si="11"/>
        <v>1.7699849086942534</v>
      </c>
      <c r="K40" s="142"/>
      <c r="L40" s="138">
        <f t="shared" si="12"/>
        <v>0.62094950015972361</v>
      </c>
      <c r="M40" s="27">
        <f t="shared" si="13"/>
        <v>2.390934408853977</v>
      </c>
      <c r="N40" s="27"/>
      <c r="O40" s="163">
        <f t="shared" si="14"/>
        <v>2.2403037131549088</v>
      </c>
      <c r="P40" s="158">
        <f t="shared" si="15"/>
        <v>2.2403037131549088E-2</v>
      </c>
    </row>
    <row r="41" spans="4:16" ht="13.8" x14ac:dyDescent="0.3">
      <c r="D41" s="222">
        <f t="shared" si="7"/>
        <v>63</v>
      </c>
      <c r="E41" s="213">
        <f t="shared" si="9"/>
        <v>46627</v>
      </c>
      <c r="F41" s="214">
        <f t="shared" si="0"/>
        <v>1923</v>
      </c>
      <c r="G41" s="141">
        <f>GEMSA!$J$17</f>
        <v>6.5000000000000002E-2</v>
      </c>
      <c r="H41" s="145">
        <v>1.4999999999999999E-2</v>
      </c>
      <c r="I41" s="144">
        <f t="shared" si="10"/>
        <v>112.68903918686746</v>
      </c>
      <c r="J41" s="190">
        <f t="shared" si="11"/>
        <v>1.7699849086942534</v>
      </c>
      <c r="K41" s="142"/>
      <c r="L41" s="138">
        <f t="shared" si="12"/>
        <v>0.63187653028097768</v>
      </c>
      <c r="M41" s="27">
        <f t="shared" si="13"/>
        <v>2.4018614389752311</v>
      </c>
      <c r="N41" s="27"/>
      <c r="O41" s="163">
        <f t="shared" si="14"/>
        <v>2.2481440744523629</v>
      </c>
      <c r="P41" s="158">
        <f t="shared" si="15"/>
        <v>2.2481440744523629E-2</v>
      </c>
    </row>
    <row r="42" spans="4:16" ht="13.8" x14ac:dyDescent="0.3">
      <c r="D42" s="222">
        <f t="shared" si="7"/>
        <v>64</v>
      </c>
      <c r="E42" s="213">
        <f t="shared" si="9"/>
        <v>46658</v>
      </c>
      <c r="F42" s="214">
        <f t="shared" si="0"/>
        <v>1954</v>
      </c>
      <c r="G42" s="141">
        <f>GEMSA!$J$17</f>
        <v>6.5000000000000002E-2</v>
      </c>
      <c r="H42" s="145">
        <v>1.4999999999999999E-2</v>
      </c>
      <c r="I42" s="144">
        <f t="shared" si="10"/>
        <v>110.91905427817321</v>
      </c>
      <c r="J42" s="190">
        <f t="shared" si="11"/>
        <v>1.7699849086942534</v>
      </c>
      <c r="K42" s="142"/>
      <c r="L42" s="138">
        <f t="shared" si="12"/>
        <v>0.6221052437302409</v>
      </c>
      <c r="M42" s="27">
        <f t="shared" si="13"/>
        <v>2.3920901524244944</v>
      </c>
      <c r="N42" s="27"/>
      <c r="O42" s="163">
        <f t="shared" si="14"/>
        <v>2.2366121873743001</v>
      </c>
      <c r="P42" s="158">
        <f t="shared" si="15"/>
        <v>2.2366121873743001E-2</v>
      </c>
    </row>
    <row r="43" spans="4:16" ht="13.8" x14ac:dyDescent="0.3">
      <c r="D43" s="222">
        <f t="shared" si="7"/>
        <v>65</v>
      </c>
      <c r="E43" s="213">
        <f t="shared" si="9"/>
        <v>46688</v>
      </c>
      <c r="F43" s="214">
        <f t="shared" si="0"/>
        <v>1984</v>
      </c>
      <c r="G43" s="141">
        <f>GEMSA!$J$17</f>
        <v>6.5000000000000002E-2</v>
      </c>
      <c r="H43" s="145">
        <v>1.4999999999999999E-2</v>
      </c>
      <c r="I43" s="144">
        <f t="shared" si="10"/>
        <v>109.14906936947895</v>
      </c>
      <c r="J43" s="190">
        <f t="shared" si="11"/>
        <v>1.7699849086942534</v>
      </c>
      <c r="K43" s="142"/>
      <c r="L43" s="138">
        <f t="shared" si="12"/>
        <v>0.59258124888339103</v>
      </c>
      <c r="M43" s="27">
        <f t="shared" si="13"/>
        <v>2.3625661575776444</v>
      </c>
      <c r="N43" s="27"/>
      <c r="O43" s="163">
        <f t="shared" si="14"/>
        <v>2.2067290547274032</v>
      </c>
      <c r="P43" s="158">
        <f t="shared" si="15"/>
        <v>2.2067290547274031E-2</v>
      </c>
    </row>
    <row r="44" spans="4:16" ht="13.8" x14ac:dyDescent="0.3">
      <c r="D44" s="222">
        <f t="shared" si="7"/>
        <v>66</v>
      </c>
      <c r="E44" s="213">
        <f t="shared" si="9"/>
        <v>46719</v>
      </c>
      <c r="F44" s="214">
        <f t="shared" si="0"/>
        <v>2015</v>
      </c>
      <c r="G44" s="141">
        <f>GEMSA!$J$17</f>
        <v>6.5000000000000002E-2</v>
      </c>
      <c r="H44" s="145">
        <v>1.4999999999999999E-2</v>
      </c>
      <c r="I44" s="144">
        <f t="shared" si="10"/>
        <v>107.3790844607847</v>
      </c>
      <c r="J44" s="190">
        <f t="shared" si="11"/>
        <v>1.7699849086942534</v>
      </c>
      <c r="K44" s="142"/>
      <c r="L44" s="138">
        <f t="shared" si="12"/>
        <v>0.60256267062876734</v>
      </c>
      <c r="M44" s="27">
        <f t="shared" si="13"/>
        <v>2.3725475793230206</v>
      </c>
      <c r="N44" s="27"/>
      <c r="O44" s="163">
        <f t="shared" si="14"/>
        <v>2.2136905888827205</v>
      </c>
      <c r="P44" s="158">
        <f t="shared" si="15"/>
        <v>2.2136905888827205E-2</v>
      </c>
    </row>
    <row r="45" spans="4:16" ht="13.8" x14ac:dyDescent="0.3">
      <c r="D45" s="222">
        <f t="shared" si="7"/>
        <v>67</v>
      </c>
      <c r="E45" s="213">
        <f t="shared" si="9"/>
        <v>46749</v>
      </c>
      <c r="F45" s="214">
        <f t="shared" si="0"/>
        <v>2045</v>
      </c>
      <c r="G45" s="141">
        <f>GEMSA!$J$17</f>
        <v>6.5000000000000002E-2</v>
      </c>
      <c r="H45" s="145">
        <v>1.6E-2</v>
      </c>
      <c r="I45" s="144">
        <f t="shared" si="10"/>
        <v>105.49110055817749</v>
      </c>
      <c r="J45" s="190">
        <f t="shared" si="11"/>
        <v>1.8879839026072036</v>
      </c>
      <c r="K45" s="142"/>
      <c r="L45" s="138">
        <f t="shared" si="12"/>
        <v>0.57366908136583605</v>
      </c>
      <c r="M45" s="27">
        <f t="shared" si="13"/>
        <v>2.4616529839730399</v>
      </c>
      <c r="N45" s="27"/>
      <c r="O45" s="163">
        <f t="shared" si="14"/>
        <v>2.2944611563728921</v>
      </c>
      <c r="P45" s="158">
        <f t="shared" si="15"/>
        <v>2.2944611563728921E-2</v>
      </c>
    </row>
    <row r="46" spans="4:16" ht="13.8" x14ac:dyDescent="0.3">
      <c r="D46" s="222">
        <f t="shared" si="7"/>
        <v>68</v>
      </c>
      <c r="E46" s="213">
        <f t="shared" si="9"/>
        <v>46780</v>
      </c>
      <c r="F46" s="214">
        <f t="shared" si="0"/>
        <v>2076</v>
      </c>
      <c r="G46" s="141">
        <f>GEMSA!$J$17</f>
        <v>6.5000000000000002E-2</v>
      </c>
      <c r="H46" s="145">
        <v>1.6E-2</v>
      </c>
      <c r="I46" s="144">
        <f t="shared" si="10"/>
        <v>103.60311665557029</v>
      </c>
      <c r="J46" s="190">
        <f t="shared" si="11"/>
        <v>1.8879839026072036</v>
      </c>
      <c r="K46" s="142"/>
      <c r="L46" s="138">
        <f t="shared" si="12"/>
        <v>0.58236867842391138</v>
      </c>
      <c r="M46" s="27">
        <f t="shared" si="13"/>
        <v>2.4703525810311149</v>
      </c>
      <c r="N46" s="27"/>
      <c r="O46" s="163">
        <f t="shared" si="14"/>
        <v>2.3001161896943838</v>
      </c>
      <c r="P46" s="158">
        <f t="shared" si="15"/>
        <v>2.3001161896943838E-2</v>
      </c>
    </row>
    <row r="47" spans="4:16" ht="13.8" x14ac:dyDescent="0.3">
      <c r="D47" s="222">
        <f t="shared" si="7"/>
        <v>69</v>
      </c>
      <c r="E47" s="213">
        <f t="shared" si="9"/>
        <v>46811</v>
      </c>
      <c r="F47" s="214">
        <f t="shared" si="0"/>
        <v>2107</v>
      </c>
      <c r="G47" s="141">
        <f>GEMSA!$J$17</f>
        <v>6.5000000000000002E-2</v>
      </c>
      <c r="H47" s="145">
        <v>1.6E-2</v>
      </c>
      <c r="I47" s="144">
        <f t="shared" si="10"/>
        <v>101.71513275296309</v>
      </c>
      <c r="J47" s="190">
        <f t="shared" si="11"/>
        <v>1.8879839026072036</v>
      </c>
      <c r="K47" s="142"/>
      <c r="L47" s="138">
        <f t="shared" si="12"/>
        <v>0.5719459727697922</v>
      </c>
      <c r="M47" s="27">
        <f t="shared" si="13"/>
        <v>2.4599298753769956</v>
      </c>
      <c r="N47" s="27"/>
      <c r="O47" s="163">
        <f t="shared" si="14"/>
        <v>2.2879709874146341</v>
      </c>
      <c r="P47" s="158">
        <f t="shared" si="15"/>
        <v>2.287970987414634E-2</v>
      </c>
    </row>
    <row r="48" spans="4:16" ht="13.8" x14ac:dyDescent="0.3">
      <c r="D48" s="222">
        <f t="shared" si="7"/>
        <v>70</v>
      </c>
      <c r="E48" s="213">
        <f t="shared" si="9"/>
        <v>46840</v>
      </c>
      <c r="F48" s="214">
        <f t="shared" si="0"/>
        <v>2136</v>
      </c>
      <c r="G48" s="141">
        <f>GEMSA!$J$17</f>
        <v>6.5000000000000002E-2</v>
      </c>
      <c r="H48" s="145">
        <v>1.6E-2</v>
      </c>
      <c r="I48" s="144">
        <f t="shared" si="10"/>
        <v>99.827148850355883</v>
      </c>
      <c r="J48" s="190">
        <f t="shared" si="11"/>
        <v>1.8879839026072036</v>
      </c>
      <c r="K48" s="142"/>
      <c r="L48" s="138">
        <f t="shared" si="12"/>
        <v>0.52529595955982311</v>
      </c>
      <c r="M48" s="27">
        <f t="shared" si="13"/>
        <v>2.4132798621670268</v>
      </c>
      <c r="N48" s="27"/>
      <c r="O48" s="163">
        <f t="shared" si="14"/>
        <v>2.2423443293230596</v>
      </c>
      <c r="P48" s="158">
        <f t="shared" si="15"/>
        <v>2.2423443293230597E-2</v>
      </c>
    </row>
    <row r="49" spans="4:16" ht="13.8" x14ac:dyDescent="0.3">
      <c r="D49" s="222">
        <f t="shared" si="7"/>
        <v>71</v>
      </c>
      <c r="E49" s="213">
        <f t="shared" si="9"/>
        <v>46871</v>
      </c>
      <c r="F49" s="214">
        <f t="shared" si="0"/>
        <v>2167</v>
      </c>
      <c r="G49" s="141">
        <f>GEMSA!$J$17</f>
        <v>6.5000000000000002E-2</v>
      </c>
      <c r="H49" s="145">
        <v>1.6E-2</v>
      </c>
      <c r="I49" s="144">
        <f t="shared" si="10"/>
        <v>97.939164947748679</v>
      </c>
      <c r="J49" s="190">
        <f t="shared" si="11"/>
        <v>1.8879839026072036</v>
      </c>
      <c r="K49" s="142"/>
      <c r="L49" s="138">
        <f t="shared" si="12"/>
        <v>0.55110056146155373</v>
      </c>
      <c r="M49" s="27">
        <f t="shared" si="13"/>
        <v>2.4390844640687575</v>
      </c>
      <c r="N49" s="27"/>
      <c r="O49" s="163">
        <f t="shared" si="14"/>
        <v>2.2639060879972597</v>
      </c>
      <c r="P49" s="158">
        <f t="shared" si="15"/>
        <v>2.2639060879972597E-2</v>
      </c>
    </row>
    <row r="50" spans="4:16" ht="13.8" x14ac:dyDescent="0.3">
      <c r="D50" s="222">
        <f t="shared" si="7"/>
        <v>72</v>
      </c>
      <c r="E50" s="213">
        <f t="shared" si="9"/>
        <v>46901</v>
      </c>
      <c r="F50" s="214">
        <f t="shared" si="0"/>
        <v>2197</v>
      </c>
      <c r="G50" s="141">
        <f>GEMSA!$J$17</f>
        <v>6.5000000000000002E-2</v>
      </c>
      <c r="H50" s="145">
        <v>1.6500000000000001E-2</v>
      </c>
      <c r="I50" s="144">
        <f t="shared" si="10"/>
        <v>95.992181548185002</v>
      </c>
      <c r="J50" s="190">
        <f t="shared" si="11"/>
        <v>1.9469833995636787</v>
      </c>
      <c r="K50" s="142"/>
      <c r="L50" s="138">
        <f t="shared" si="12"/>
        <v>0.52323663465235593</v>
      </c>
      <c r="M50" s="27">
        <f t="shared" si="13"/>
        <v>2.4702200342160348</v>
      </c>
      <c r="N50" s="27"/>
      <c r="O50" s="163">
        <f t="shared" si="14"/>
        <v>2.2904409396356287</v>
      </c>
      <c r="P50" s="158">
        <f t="shared" si="15"/>
        <v>2.2904409396356285E-2</v>
      </c>
    </row>
    <row r="51" spans="4:16" ht="13.8" x14ac:dyDescent="0.3">
      <c r="D51" s="222">
        <f t="shared" si="7"/>
        <v>73</v>
      </c>
      <c r="E51" s="213">
        <f t="shared" si="9"/>
        <v>46932</v>
      </c>
      <c r="F51" s="214">
        <f t="shared" si="0"/>
        <v>2228</v>
      </c>
      <c r="G51" s="141">
        <f>GEMSA!$J$17</f>
        <v>6.5000000000000002E-2</v>
      </c>
      <c r="H51" s="145">
        <v>1.6500000000000001E-2</v>
      </c>
      <c r="I51" s="144">
        <f t="shared" si="10"/>
        <v>94.045198148621324</v>
      </c>
      <c r="J51" s="190">
        <f t="shared" si="11"/>
        <v>1.9469833995636787</v>
      </c>
      <c r="K51" s="142"/>
      <c r="L51" s="138">
        <f t="shared" si="12"/>
        <v>0.52992944060162406</v>
      </c>
      <c r="M51" s="27">
        <f t="shared" si="13"/>
        <v>2.4769128401653027</v>
      </c>
      <c r="N51" s="27"/>
      <c r="O51" s="163">
        <f t="shared" si="14"/>
        <v>2.2941992647354552</v>
      </c>
      <c r="P51" s="158">
        <f t="shared" si="15"/>
        <v>2.2941992647354553E-2</v>
      </c>
    </row>
    <row r="52" spans="4:16" ht="13.8" x14ac:dyDescent="0.3">
      <c r="D52" s="222">
        <f t="shared" si="7"/>
        <v>74</v>
      </c>
      <c r="E52" s="213">
        <f t="shared" si="9"/>
        <v>46962</v>
      </c>
      <c r="F52" s="214">
        <f t="shared" si="0"/>
        <v>2258</v>
      </c>
      <c r="G52" s="141">
        <f>GEMSA!$J$17</f>
        <v>6.5000000000000002E-2</v>
      </c>
      <c r="H52" s="145">
        <v>1.6500000000000001E-2</v>
      </c>
      <c r="I52" s="144">
        <f t="shared" si="10"/>
        <v>92.098214749057647</v>
      </c>
      <c r="J52" s="190">
        <f t="shared" si="11"/>
        <v>1.9469833995636787</v>
      </c>
      <c r="K52" s="142"/>
      <c r="L52" s="138">
        <f t="shared" si="12"/>
        <v>0.50243325038304543</v>
      </c>
      <c r="M52" s="27">
        <f t="shared" si="13"/>
        <v>2.4494166499467243</v>
      </c>
      <c r="N52" s="27"/>
      <c r="O52" s="163">
        <f t="shared" si="14"/>
        <v>2.2663916842122442</v>
      </c>
      <c r="P52" s="158">
        <f t="shared" si="15"/>
        <v>2.2663916842122444E-2</v>
      </c>
    </row>
    <row r="53" spans="4:16" ht="13.8" x14ac:dyDescent="0.3">
      <c r="D53" s="222">
        <f t="shared" si="7"/>
        <v>75</v>
      </c>
      <c r="E53" s="213">
        <f t="shared" si="9"/>
        <v>46993</v>
      </c>
      <c r="F53" s="214">
        <f t="shared" si="0"/>
        <v>2289</v>
      </c>
      <c r="G53" s="141">
        <f>GEMSA!$J$17</f>
        <v>6.5000000000000002E-2</v>
      </c>
      <c r="H53" s="145">
        <v>1.6500000000000001E-2</v>
      </c>
      <c r="I53" s="144">
        <f t="shared" si="10"/>
        <v>90.151231349493969</v>
      </c>
      <c r="J53" s="190">
        <f t="shared" si="11"/>
        <v>1.9469833995636787</v>
      </c>
      <c r="K53" s="142"/>
      <c r="L53" s="138">
        <f t="shared" si="12"/>
        <v>0.50843261019000319</v>
      </c>
      <c r="M53" s="27">
        <f t="shared" si="13"/>
        <v>2.4554160097536819</v>
      </c>
      <c r="N53" s="27"/>
      <c r="O53" s="163">
        <f t="shared" si="14"/>
        <v>2.2695216980747301</v>
      </c>
      <c r="P53" s="158">
        <f t="shared" si="15"/>
        <v>2.26952169807473E-2</v>
      </c>
    </row>
    <row r="54" spans="4:16" ht="13.8" x14ac:dyDescent="0.3">
      <c r="D54" s="222">
        <f t="shared" si="7"/>
        <v>76</v>
      </c>
      <c r="E54" s="213">
        <f t="shared" si="9"/>
        <v>47024</v>
      </c>
      <c r="F54" s="214">
        <f t="shared" si="0"/>
        <v>2320</v>
      </c>
      <c r="G54" s="141">
        <f>GEMSA!$J$17</f>
        <v>6.5000000000000002E-2</v>
      </c>
      <c r="H54" s="145">
        <v>1.7000000000000001E-2</v>
      </c>
      <c r="I54" s="144">
        <f t="shared" si="10"/>
        <v>88.145248452973817</v>
      </c>
      <c r="J54" s="190">
        <f t="shared" si="11"/>
        <v>2.005982896520154</v>
      </c>
      <c r="K54" s="142"/>
      <c r="L54" s="138">
        <f t="shared" si="12"/>
        <v>0.49768419498419275</v>
      </c>
      <c r="M54" s="27">
        <f t="shared" si="13"/>
        <v>2.5036670915043469</v>
      </c>
      <c r="N54" s="27"/>
      <c r="O54" s="163">
        <f t="shared" si="14"/>
        <v>2.3116537853216848</v>
      </c>
      <c r="P54" s="158">
        <f t="shared" si="15"/>
        <v>2.3116537853216847E-2</v>
      </c>
    </row>
    <row r="55" spans="4:16" ht="13.8" x14ac:dyDescent="0.3">
      <c r="D55" s="222">
        <f t="shared" si="7"/>
        <v>77</v>
      </c>
      <c r="E55" s="213">
        <f t="shared" si="9"/>
        <v>47054</v>
      </c>
      <c r="F55" s="214">
        <f t="shared" si="0"/>
        <v>2350</v>
      </c>
      <c r="G55" s="141">
        <f>GEMSA!$J$17</f>
        <v>6.5000000000000002E-2</v>
      </c>
      <c r="H55" s="145">
        <v>1.7000000000000001E-2</v>
      </c>
      <c r="I55" s="144">
        <f t="shared" si="10"/>
        <v>86.139265556453665</v>
      </c>
      <c r="J55" s="190">
        <f t="shared" si="11"/>
        <v>2.005982896520154</v>
      </c>
      <c r="K55" s="142"/>
      <c r="L55" s="138">
        <f t="shared" si="12"/>
        <v>0.47091297118712033</v>
      </c>
      <c r="M55" s="27">
        <f t="shared" si="13"/>
        <v>2.4768958677072743</v>
      </c>
      <c r="N55" s="27"/>
      <c r="O55" s="163">
        <f t="shared" si="14"/>
        <v>2.2845772563246025</v>
      </c>
      <c r="P55" s="158">
        <f t="shared" si="15"/>
        <v>2.2845772563246027E-2</v>
      </c>
    </row>
    <row r="56" spans="4:16" ht="13.8" x14ac:dyDescent="0.3">
      <c r="D56" s="222">
        <f t="shared" si="7"/>
        <v>78</v>
      </c>
      <c r="E56" s="213">
        <f t="shared" si="9"/>
        <v>47085</v>
      </c>
      <c r="F56" s="214">
        <f t="shared" si="0"/>
        <v>2381</v>
      </c>
      <c r="G56" s="141">
        <f>GEMSA!$J$17</f>
        <v>6.5000000000000002E-2</v>
      </c>
      <c r="H56" s="145">
        <v>1.7000000000000001E-2</v>
      </c>
      <c r="I56" s="144">
        <f t="shared" si="10"/>
        <v>84.133282659933514</v>
      </c>
      <c r="J56" s="190">
        <f t="shared" si="11"/>
        <v>2.005982896520154</v>
      </c>
      <c r="K56" s="142"/>
      <c r="L56" s="138">
        <f t="shared" si="12"/>
        <v>0.47553594546918942</v>
      </c>
      <c r="M56" s="27">
        <f t="shared" si="13"/>
        <v>2.4815188419893435</v>
      </c>
      <c r="N56" s="27"/>
      <c r="O56" s="163">
        <f t="shared" si="14"/>
        <v>2.2864022094228598</v>
      </c>
      <c r="P56" s="158">
        <f t="shared" si="15"/>
        <v>2.2864022094228598E-2</v>
      </c>
    </row>
    <row r="57" spans="4:16" ht="13.8" x14ac:dyDescent="0.3">
      <c r="D57" s="222">
        <f t="shared" si="7"/>
        <v>79</v>
      </c>
      <c r="E57" s="213">
        <f t="shared" si="9"/>
        <v>47115</v>
      </c>
      <c r="F57" s="214">
        <f t="shared" si="0"/>
        <v>2411</v>
      </c>
      <c r="G57" s="141">
        <f>GEMSA!$J$17</f>
        <v>6.5000000000000002E-2</v>
      </c>
      <c r="H57" s="145">
        <v>1.7000000000000001E-2</v>
      </c>
      <c r="I57" s="144">
        <f t="shared" si="10"/>
        <v>82.127299763413362</v>
      </c>
      <c r="J57" s="190">
        <f t="shared" si="11"/>
        <v>2.005982896520154</v>
      </c>
      <c r="K57" s="142"/>
      <c r="L57" s="138">
        <f t="shared" si="12"/>
        <v>0.44947918133389136</v>
      </c>
      <c r="M57" s="27">
        <f t="shared" si="13"/>
        <v>2.4554620778540452</v>
      </c>
      <c r="N57" s="27"/>
      <c r="O57" s="163">
        <f t="shared" si="14"/>
        <v>2.2600610771795702</v>
      </c>
      <c r="P57" s="158">
        <f t="shared" si="15"/>
        <v>2.26006107717957E-2</v>
      </c>
    </row>
    <row r="58" spans="4:16" ht="13.8" x14ac:dyDescent="0.3">
      <c r="D58" s="222">
        <f t="shared" si="7"/>
        <v>80</v>
      </c>
      <c r="E58" s="213">
        <f t="shared" si="9"/>
        <v>47146</v>
      </c>
      <c r="F58" s="214">
        <f t="shared" si="0"/>
        <v>2442</v>
      </c>
      <c r="G58" s="141">
        <f>GEMSA!$J$17</f>
        <v>6.5000000000000002E-2</v>
      </c>
      <c r="H58" s="145">
        <v>1.7000000000000001E-2</v>
      </c>
      <c r="I58" s="144">
        <f t="shared" si="10"/>
        <v>80.12131686689321</v>
      </c>
      <c r="J58" s="190">
        <f t="shared" si="11"/>
        <v>2.005982896520154</v>
      </c>
      <c r="K58" s="142"/>
      <c r="L58" s="138">
        <f t="shared" si="12"/>
        <v>0.4533876959541861</v>
      </c>
      <c r="M58" s="27">
        <f t="shared" si="13"/>
        <v>2.4593705924743401</v>
      </c>
      <c r="N58" s="27"/>
      <c r="O58" s="163">
        <f t="shared" si="14"/>
        <v>2.2612463249537282</v>
      </c>
      <c r="P58" s="158">
        <f t="shared" si="15"/>
        <v>2.2612463249537283E-2</v>
      </c>
    </row>
    <row r="59" spans="4:16" ht="13.8" x14ac:dyDescent="0.3">
      <c r="D59" s="222">
        <f t="shared" si="7"/>
        <v>81</v>
      </c>
      <c r="E59" s="213">
        <f t="shared" si="9"/>
        <v>47177</v>
      </c>
      <c r="F59" s="214">
        <f t="shared" si="0"/>
        <v>2473</v>
      </c>
      <c r="G59" s="141">
        <f>GEMSA!$J$17</f>
        <v>6.5000000000000002E-2</v>
      </c>
      <c r="H59" s="145">
        <v>1.7000000000000001E-2</v>
      </c>
      <c r="I59" s="144">
        <f t="shared" si="10"/>
        <v>78.115333970373058</v>
      </c>
      <c r="J59" s="190">
        <f t="shared" si="11"/>
        <v>2.005982896520154</v>
      </c>
      <c r="K59" s="142"/>
      <c r="L59" s="138">
        <f t="shared" si="12"/>
        <v>0.44231357119668446</v>
      </c>
      <c r="M59" s="27">
        <f t="shared" si="13"/>
        <v>2.4482964677168386</v>
      </c>
      <c r="N59" s="27"/>
      <c r="O59" s="163">
        <f t="shared" si="14"/>
        <v>2.2486655060350897</v>
      </c>
      <c r="P59" s="158">
        <f t="shared" si="15"/>
        <v>2.2486655060350899E-2</v>
      </c>
    </row>
    <row r="60" spans="4:16" ht="13.8" x14ac:dyDescent="0.3">
      <c r="D60" s="222">
        <f t="shared" si="7"/>
        <v>82</v>
      </c>
      <c r="E60" s="213">
        <f t="shared" si="9"/>
        <v>47205</v>
      </c>
      <c r="F60" s="214">
        <f t="shared" si="0"/>
        <v>2501</v>
      </c>
      <c r="G60" s="141">
        <f>GEMSA!$J$17</f>
        <v>6.5000000000000002E-2</v>
      </c>
      <c r="H60" s="145">
        <v>1.7000000000000001E-2</v>
      </c>
      <c r="I60" s="144">
        <f t="shared" si="10"/>
        <v>76.109351073852906</v>
      </c>
      <c r="J60" s="190">
        <f t="shared" si="11"/>
        <v>2.005982896520154</v>
      </c>
      <c r="K60" s="142"/>
      <c r="L60" s="138">
        <f t="shared" si="12"/>
        <v>0.38950659678377797</v>
      </c>
      <c r="M60" s="27">
        <f t="shared" si="13"/>
        <v>2.3954894933039319</v>
      </c>
      <c r="N60" s="27"/>
      <c r="O60" s="163">
        <f t="shared" si="14"/>
        <v>2.1980465566754979</v>
      </c>
      <c r="P60" s="158">
        <f t="shared" si="15"/>
        <v>2.1980465566754977E-2</v>
      </c>
    </row>
    <row r="61" spans="4:16" ht="13.8" x14ac:dyDescent="0.3">
      <c r="D61" s="222">
        <f t="shared" si="7"/>
        <v>83</v>
      </c>
      <c r="E61" s="213">
        <f t="shared" si="9"/>
        <v>47236</v>
      </c>
      <c r="F61" s="214">
        <f t="shared" si="0"/>
        <v>2532</v>
      </c>
      <c r="G61" s="141">
        <f>GEMSA!$J$17</f>
        <v>6.5000000000000002E-2</v>
      </c>
      <c r="H61" s="145">
        <v>1.7000000000000001E-2</v>
      </c>
      <c r="I61" s="144">
        <f t="shared" si="10"/>
        <v>74.103368177332754</v>
      </c>
      <c r="J61" s="190">
        <f t="shared" si="11"/>
        <v>2.005982896520154</v>
      </c>
      <c r="K61" s="142"/>
      <c r="L61" s="138">
        <f t="shared" si="12"/>
        <v>0.42016532168168114</v>
      </c>
      <c r="M61" s="27">
        <f t="shared" si="13"/>
        <v>2.4261482182018352</v>
      </c>
      <c r="N61" s="27"/>
      <c r="O61" s="163">
        <f t="shared" si="14"/>
        <v>2.2238060094108172</v>
      </c>
      <c r="P61" s="158">
        <f t="shared" si="15"/>
        <v>2.2238060094108173E-2</v>
      </c>
    </row>
    <row r="62" spans="4:16" ht="13.8" x14ac:dyDescent="0.3">
      <c r="D62" s="222">
        <f t="shared" si="7"/>
        <v>84</v>
      </c>
      <c r="E62" s="213">
        <f t="shared" si="9"/>
        <v>47266</v>
      </c>
      <c r="F62" s="214">
        <f t="shared" si="0"/>
        <v>2562</v>
      </c>
      <c r="G62" s="141">
        <f>GEMSA!$J$17</f>
        <v>6.5000000000000002E-2</v>
      </c>
      <c r="H62" s="145">
        <v>1.7500000000000002E-2</v>
      </c>
      <c r="I62" s="144">
        <f t="shared" si="10"/>
        <v>72.038385783856128</v>
      </c>
      <c r="J62" s="190">
        <f t="shared" si="11"/>
        <v>2.0649823934766292</v>
      </c>
      <c r="K62" s="142"/>
      <c r="L62" s="138">
        <f t="shared" si="12"/>
        <v>0.39589470670081878</v>
      </c>
      <c r="M62" s="27">
        <f t="shared" si="13"/>
        <v>2.4608771001774481</v>
      </c>
      <c r="N62" s="27"/>
      <c r="O62" s="163">
        <f t="shared" si="14"/>
        <v>2.2533122920348498</v>
      </c>
      <c r="P62" s="158">
        <f t="shared" si="15"/>
        <v>2.2533122920348498E-2</v>
      </c>
    </row>
    <row r="63" spans="4:16" ht="13.8" x14ac:dyDescent="0.3">
      <c r="D63" s="222">
        <f t="shared" si="7"/>
        <v>85</v>
      </c>
      <c r="E63" s="213">
        <f t="shared" si="9"/>
        <v>47297</v>
      </c>
      <c r="F63" s="214">
        <f t="shared" si="0"/>
        <v>2593</v>
      </c>
      <c r="G63" s="141">
        <f>GEMSA!$J$17</f>
        <v>6.5000000000000002E-2</v>
      </c>
      <c r="H63" s="145">
        <v>1.7500000000000002E-2</v>
      </c>
      <c r="I63" s="144">
        <f t="shared" si="10"/>
        <v>69.973403390379502</v>
      </c>
      <c r="J63" s="190">
        <f t="shared" si="11"/>
        <v>2.0649823934766292</v>
      </c>
      <c r="K63" s="142"/>
      <c r="L63" s="138">
        <f t="shared" si="12"/>
        <v>0.39769136261498661</v>
      </c>
      <c r="M63" s="27">
        <f t="shared" si="13"/>
        <v>2.4626737560916157</v>
      </c>
      <c r="N63" s="27"/>
      <c r="O63" s="163">
        <f t="shared" si="14"/>
        <v>2.2525544450187125</v>
      </c>
      <c r="P63" s="158">
        <f t="shared" si="15"/>
        <v>2.2525544450187125E-2</v>
      </c>
    </row>
    <row r="64" spans="4:16" ht="13.8" x14ac:dyDescent="0.3">
      <c r="D64" s="222">
        <f t="shared" si="7"/>
        <v>86</v>
      </c>
      <c r="E64" s="213">
        <f t="shared" si="9"/>
        <v>47327</v>
      </c>
      <c r="F64" s="214">
        <f t="shared" si="0"/>
        <v>2623</v>
      </c>
      <c r="G64" s="141">
        <f>GEMSA!$J$17</f>
        <v>6.5000000000000002E-2</v>
      </c>
      <c r="H64" s="145">
        <v>1.7500000000000002E-2</v>
      </c>
      <c r="I64" s="144">
        <f t="shared" si="10"/>
        <v>67.908420996902876</v>
      </c>
      <c r="J64" s="190">
        <f t="shared" si="11"/>
        <v>2.0649823934766292</v>
      </c>
      <c r="K64" s="142"/>
      <c r="L64" s="138">
        <f t="shared" si="12"/>
        <v>0.37383051126367128</v>
      </c>
      <c r="M64" s="27">
        <f t="shared" si="13"/>
        <v>2.4388129047403004</v>
      </c>
      <c r="N64" s="27"/>
      <c r="O64" s="163">
        <f t="shared" si="14"/>
        <v>2.2284289383924314</v>
      </c>
      <c r="P64" s="158">
        <f t="shared" si="15"/>
        <v>2.2284289383924315E-2</v>
      </c>
    </row>
    <row r="65" spans="4:16" ht="13.8" x14ac:dyDescent="0.3">
      <c r="D65" s="222">
        <f t="shared" si="7"/>
        <v>87</v>
      </c>
      <c r="E65" s="213">
        <f t="shared" si="9"/>
        <v>47358</v>
      </c>
      <c r="F65" s="214">
        <f t="shared" si="0"/>
        <v>2654</v>
      </c>
      <c r="G65" s="141">
        <f>GEMSA!$J$17</f>
        <v>6.5000000000000002E-2</v>
      </c>
      <c r="H65" s="145">
        <v>1.7500000000000002E-2</v>
      </c>
      <c r="I65" s="144">
        <f t="shared" si="10"/>
        <v>65.84343860342625</v>
      </c>
      <c r="J65" s="190">
        <f t="shared" si="11"/>
        <v>2.0649823934766292</v>
      </c>
      <c r="K65" s="142"/>
      <c r="L65" s="138">
        <f t="shared" si="12"/>
        <v>0.37489169399660083</v>
      </c>
      <c r="M65" s="27">
        <f t="shared" si="13"/>
        <v>2.4398740874732301</v>
      </c>
      <c r="N65" s="27"/>
      <c r="O65" s="163">
        <f t="shared" si="14"/>
        <v>2.2270228522567814</v>
      </c>
      <c r="P65" s="158">
        <f t="shared" si="15"/>
        <v>2.2270228522567815E-2</v>
      </c>
    </row>
    <row r="66" spans="4:16" ht="13.8" x14ac:dyDescent="0.3">
      <c r="D66" s="222">
        <f t="shared" si="7"/>
        <v>88</v>
      </c>
      <c r="E66" s="213">
        <f t="shared" si="9"/>
        <v>47389</v>
      </c>
      <c r="F66" s="214">
        <f t="shared" si="0"/>
        <v>2685</v>
      </c>
      <c r="G66" s="141">
        <f>GEMSA!$J$17</f>
        <v>6.5000000000000002E-2</v>
      </c>
      <c r="H66" s="145">
        <v>1.7500000000000002E-2</v>
      </c>
      <c r="I66" s="144">
        <f t="shared" si="10"/>
        <v>63.778456209949624</v>
      </c>
      <c r="J66" s="190">
        <f t="shared" si="11"/>
        <v>2.0649823934766292</v>
      </c>
      <c r="K66" s="142"/>
      <c r="L66" s="138">
        <f t="shared" si="12"/>
        <v>0.36349185968740794</v>
      </c>
      <c r="M66" s="27">
        <f t="shared" si="13"/>
        <v>2.4284742531640369</v>
      </c>
      <c r="N66" s="27"/>
      <c r="O66" s="163">
        <f t="shared" si="14"/>
        <v>2.2142554176039977</v>
      </c>
      <c r="P66" s="158">
        <f t="shared" si="15"/>
        <v>2.2142554176039976E-2</v>
      </c>
    </row>
    <row r="67" spans="4:16" ht="13.8" x14ac:dyDescent="0.3">
      <c r="D67" s="222">
        <f t="shared" si="7"/>
        <v>89</v>
      </c>
      <c r="E67" s="213">
        <f t="shared" si="9"/>
        <v>47419</v>
      </c>
      <c r="F67" s="214">
        <f t="shared" si="0"/>
        <v>2715</v>
      </c>
      <c r="G67" s="141">
        <f>GEMSA!$J$17</f>
        <v>6.5000000000000002E-2</v>
      </c>
      <c r="H67" s="145">
        <v>1.7500000000000002E-2</v>
      </c>
      <c r="I67" s="144">
        <f t="shared" si="10"/>
        <v>61.713473816472998</v>
      </c>
      <c r="J67" s="190">
        <f t="shared" si="11"/>
        <v>2.0649823934766292</v>
      </c>
      <c r="K67" s="142"/>
      <c r="L67" s="138">
        <f t="shared" si="12"/>
        <v>0.34073421810795002</v>
      </c>
      <c r="M67" s="27">
        <f t="shared" si="13"/>
        <v>2.4057166115845794</v>
      </c>
      <c r="N67" s="27"/>
      <c r="O67" s="163">
        <f t="shared" si="14"/>
        <v>2.1912431435811386</v>
      </c>
      <c r="P67" s="158">
        <f t="shared" si="15"/>
        <v>2.1912431435811387E-2</v>
      </c>
    </row>
    <row r="68" spans="4:16" ht="13.8" x14ac:dyDescent="0.3">
      <c r="D68" s="222">
        <f t="shared" si="7"/>
        <v>90</v>
      </c>
      <c r="E68" s="213">
        <f t="shared" si="9"/>
        <v>47450</v>
      </c>
      <c r="F68" s="214">
        <f t="shared" si="0"/>
        <v>2746</v>
      </c>
      <c r="G68" s="141">
        <f>GEMSA!$J$17</f>
        <v>6.5000000000000002E-2</v>
      </c>
      <c r="H68" s="145">
        <v>1.7500000000000002E-2</v>
      </c>
      <c r="I68" s="144">
        <f t="shared" si="10"/>
        <v>59.648491422996372</v>
      </c>
      <c r="J68" s="190">
        <f t="shared" si="11"/>
        <v>2.0649823934766292</v>
      </c>
      <c r="K68" s="142"/>
      <c r="L68" s="138">
        <f t="shared" si="12"/>
        <v>0.34069219106902215</v>
      </c>
      <c r="M68" s="27">
        <f t="shared" si="13"/>
        <v>2.4056745845456513</v>
      </c>
      <c r="N68" s="27"/>
      <c r="O68" s="163">
        <f t="shared" si="14"/>
        <v>2.1888698378545963</v>
      </c>
      <c r="P68" s="158">
        <f t="shared" si="15"/>
        <v>2.1888698378545964E-2</v>
      </c>
    </row>
    <row r="69" spans="4:16" ht="13.8" x14ac:dyDescent="0.3">
      <c r="D69" s="222">
        <f t="shared" si="7"/>
        <v>91</v>
      </c>
      <c r="E69" s="213">
        <f t="shared" si="9"/>
        <v>47480</v>
      </c>
      <c r="F69" s="214">
        <f t="shared" ref="F69:F98" si="16">E69-$E$3</f>
        <v>2776</v>
      </c>
      <c r="G69" s="141">
        <f>GEMSA!$J$17</f>
        <v>6.5000000000000002E-2</v>
      </c>
      <c r="H69" s="145">
        <v>1.7500000000000002E-2</v>
      </c>
      <c r="I69" s="144">
        <f t="shared" si="10"/>
        <v>57.583509029519746</v>
      </c>
      <c r="J69" s="190">
        <f t="shared" si="11"/>
        <v>2.0649823934766292</v>
      </c>
      <c r="K69" s="142"/>
      <c r="L69" s="138">
        <f t="shared" si="12"/>
        <v>0.31867002267080252</v>
      </c>
      <c r="M69" s="27">
        <f t="shared" si="13"/>
        <v>2.3836524161474317</v>
      </c>
      <c r="N69" s="27"/>
      <c r="O69" s="163">
        <f t="shared" si="14"/>
        <v>2.1665956876298376</v>
      </c>
      <c r="P69" s="158">
        <f t="shared" si="15"/>
        <v>2.1665956876298374E-2</v>
      </c>
    </row>
    <row r="70" spans="4:16" ht="13.8" x14ac:dyDescent="0.3">
      <c r="D70" s="222">
        <f t="shared" si="7"/>
        <v>92</v>
      </c>
      <c r="E70" s="213">
        <f t="shared" si="9"/>
        <v>47511</v>
      </c>
      <c r="F70" s="214">
        <f t="shared" si="16"/>
        <v>2807</v>
      </c>
      <c r="G70" s="141">
        <f>GEMSA!$J$17</f>
        <v>6.5000000000000002E-2</v>
      </c>
      <c r="H70" s="145">
        <v>1.7500000000000002E-2</v>
      </c>
      <c r="I70" s="144">
        <f t="shared" si="10"/>
        <v>55.51852663604312</v>
      </c>
      <c r="J70" s="190">
        <f t="shared" si="11"/>
        <v>2.0649823934766292</v>
      </c>
      <c r="K70" s="142"/>
      <c r="L70" s="138">
        <f t="shared" si="12"/>
        <v>0.31789252245063643</v>
      </c>
      <c r="M70" s="27">
        <f t="shared" si="13"/>
        <v>2.3828749159272657</v>
      </c>
      <c r="N70" s="27"/>
      <c r="O70" s="163">
        <f t="shared" si="14"/>
        <v>2.163580939045461</v>
      </c>
      <c r="P70" s="158">
        <f t="shared" si="15"/>
        <v>2.1635809390454609E-2</v>
      </c>
    </row>
    <row r="71" spans="4:16" ht="13.8" x14ac:dyDescent="0.3">
      <c r="D71" s="222">
        <f t="shared" si="7"/>
        <v>93</v>
      </c>
      <c r="E71" s="213">
        <f t="shared" si="9"/>
        <v>47542</v>
      </c>
      <c r="F71" s="214">
        <f t="shared" si="16"/>
        <v>2838</v>
      </c>
      <c r="G71" s="141">
        <f>GEMSA!$J$17</f>
        <v>6.5000000000000002E-2</v>
      </c>
      <c r="H71" s="145">
        <v>1.7500000000000002E-2</v>
      </c>
      <c r="I71" s="144">
        <f t="shared" si="10"/>
        <v>53.453544242566494</v>
      </c>
      <c r="J71" s="190">
        <f t="shared" si="11"/>
        <v>2.0649823934766292</v>
      </c>
      <c r="K71" s="142"/>
      <c r="L71" s="138">
        <f t="shared" si="12"/>
        <v>0.30649268814144354</v>
      </c>
      <c r="M71" s="27">
        <f t="shared" si="13"/>
        <v>2.3714750816180725</v>
      </c>
      <c r="N71" s="27"/>
      <c r="O71" s="163">
        <f t="shared" si="14"/>
        <v>2.1509356635688088</v>
      </c>
      <c r="P71" s="158">
        <f t="shared" si="15"/>
        <v>2.1509356635688089E-2</v>
      </c>
    </row>
    <row r="72" spans="4:16" ht="13.8" x14ac:dyDescent="0.3">
      <c r="D72" s="222">
        <f t="shared" si="7"/>
        <v>94</v>
      </c>
      <c r="E72" s="213">
        <f t="shared" si="9"/>
        <v>47570</v>
      </c>
      <c r="F72" s="214">
        <f t="shared" si="16"/>
        <v>2866</v>
      </c>
      <c r="G72" s="141">
        <f>GEMSA!$J$17</f>
        <v>6.5000000000000002E-2</v>
      </c>
      <c r="H72" s="145">
        <v>1.7500000000000002E-2</v>
      </c>
      <c r="I72" s="144">
        <f t="shared" si="10"/>
        <v>51.388561849089868</v>
      </c>
      <c r="J72" s="190">
        <f t="shared" si="11"/>
        <v>2.0649823934766292</v>
      </c>
      <c r="K72" s="142"/>
      <c r="L72" s="138">
        <f t="shared" si="12"/>
        <v>0.26653548088074253</v>
      </c>
      <c r="M72" s="27">
        <f t="shared" si="13"/>
        <v>2.3315178743573717</v>
      </c>
      <c r="N72" s="27"/>
      <c r="O72" s="163">
        <f t="shared" si="14"/>
        <v>2.1126588275978295</v>
      </c>
      <c r="P72" s="158">
        <f t="shared" si="15"/>
        <v>2.1126588275978294E-2</v>
      </c>
    </row>
    <row r="73" spans="4:16" ht="13.8" x14ac:dyDescent="0.3">
      <c r="D73" s="222">
        <f t="shared" si="7"/>
        <v>95</v>
      </c>
      <c r="E73" s="213">
        <f t="shared" si="9"/>
        <v>47601</v>
      </c>
      <c r="F73" s="214">
        <f t="shared" si="16"/>
        <v>2897</v>
      </c>
      <c r="G73" s="141">
        <f>GEMSA!$J$17</f>
        <v>6.5000000000000002E-2</v>
      </c>
      <c r="H73" s="145">
        <v>1.7500000000000002E-2</v>
      </c>
      <c r="I73" s="144">
        <f t="shared" si="10"/>
        <v>49.323579455613242</v>
      </c>
      <c r="J73" s="190">
        <f t="shared" si="11"/>
        <v>2.0649823934766292</v>
      </c>
      <c r="K73" s="142"/>
      <c r="L73" s="138">
        <f t="shared" si="12"/>
        <v>0.28369301952305775</v>
      </c>
      <c r="M73" s="27">
        <f t="shared" si="13"/>
        <v>2.348675412999687</v>
      </c>
      <c r="N73" s="27"/>
      <c r="O73" s="163">
        <f t="shared" si="14"/>
        <v>2.1259379006082537</v>
      </c>
      <c r="P73" s="158">
        <f t="shared" si="15"/>
        <v>2.1259379006082536E-2</v>
      </c>
    </row>
    <row r="74" spans="4:16" ht="13.8" x14ac:dyDescent="0.3">
      <c r="D74" s="222">
        <f t="shared" si="7"/>
        <v>96</v>
      </c>
      <c r="E74" s="213">
        <f t="shared" si="9"/>
        <v>47631</v>
      </c>
      <c r="F74" s="214">
        <f t="shared" si="16"/>
        <v>2927</v>
      </c>
      <c r="G74" s="141">
        <f>GEMSA!$J$17</f>
        <v>6.5000000000000002E-2</v>
      </c>
      <c r="H74" s="145">
        <v>1.7500000000000002E-2</v>
      </c>
      <c r="I74" s="144">
        <f t="shared" si="10"/>
        <v>47.258597062136616</v>
      </c>
      <c r="J74" s="190">
        <f t="shared" si="11"/>
        <v>2.0649823934766292</v>
      </c>
      <c r="K74" s="142"/>
      <c r="L74" s="138">
        <f t="shared" si="12"/>
        <v>0.26350953407793376</v>
      </c>
      <c r="M74" s="27">
        <f t="shared" si="13"/>
        <v>2.328491927554563</v>
      </c>
      <c r="N74" s="27"/>
      <c r="O74" s="163">
        <f t="shared" si="14"/>
        <v>2.1054949318201017</v>
      </c>
      <c r="P74" s="158">
        <f t="shared" si="15"/>
        <v>2.1054949318201018E-2</v>
      </c>
    </row>
    <row r="75" spans="4:16" ht="13.8" x14ac:dyDescent="0.3">
      <c r="D75" s="222">
        <f t="shared" ref="D75:D98" si="17">D74+1</f>
        <v>97</v>
      </c>
      <c r="E75" s="213">
        <f t="shared" si="9"/>
        <v>47662</v>
      </c>
      <c r="F75" s="214">
        <f t="shared" si="16"/>
        <v>2958</v>
      </c>
      <c r="G75" s="141">
        <f>GEMSA!$J$17</f>
        <v>6.5000000000000002E-2</v>
      </c>
      <c r="H75" s="145">
        <v>1.7500000000000002E-2</v>
      </c>
      <c r="I75" s="144">
        <f t="shared" si="10"/>
        <v>45.19361466865999</v>
      </c>
      <c r="J75" s="190">
        <f t="shared" si="11"/>
        <v>2.0649823934766292</v>
      </c>
      <c r="K75" s="142"/>
      <c r="L75" s="138">
        <f t="shared" si="12"/>
        <v>0.26089335090467203</v>
      </c>
      <c r="M75" s="27">
        <f t="shared" si="13"/>
        <v>2.3258757443813014</v>
      </c>
      <c r="N75" s="27"/>
      <c r="O75" s="163">
        <f t="shared" si="14"/>
        <v>2.1008881284780201</v>
      </c>
      <c r="P75" s="158">
        <f t="shared" si="15"/>
        <v>2.10088812847802E-2</v>
      </c>
    </row>
    <row r="76" spans="4:16" ht="13.8" x14ac:dyDescent="0.3">
      <c r="D76" s="222">
        <f t="shared" si="17"/>
        <v>98</v>
      </c>
      <c r="E76" s="213">
        <f t="shared" ref="E76:E98" si="18">EDATE(E75,1)</f>
        <v>47692</v>
      </c>
      <c r="F76" s="214">
        <f t="shared" si="16"/>
        <v>2988</v>
      </c>
      <c r="G76" s="141">
        <f>GEMSA!$J$17</f>
        <v>6.5000000000000002E-2</v>
      </c>
      <c r="H76" s="145">
        <v>1.7500000000000002E-2</v>
      </c>
      <c r="I76" s="144">
        <f t="shared" si="10"/>
        <v>43.128632275183364</v>
      </c>
      <c r="J76" s="190">
        <f t="shared" si="11"/>
        <v>2.0649823934766292</v>
      </c>
      <c r="K76" s="142"/>
      <c r="L76" s="138">
        <f t="shared" si="12"/>
        <v>0.24144533864078624</v>
      </c>
      <c r="M76" s="27">
        <f t="shared" si="13"/>
        <v>2.3064277321174154</v>
      </c>
      <c r="N76" s="27"/>
      <c r="O76" s="163">
        <f t="shared" si="14"/>
        <v>2.0811728866614163</v>
      </c>
      <c r="P76" s="158">
        <f t="shared" si="15"/>
        <v>2.0811728866614164E-2</v>
      </c>
    </row>
    <row r="77" spans="4:16" ht="13.8" x14ac:dyDescent="0.3">
      <c r="D77" s="222">
        <f t="shared" si="17"/>
        <v>99</v>
      </c>
      <c r="E77" s="213">
        <f t="shared" si="18"/>
        <v>47723</v>
      </c>
      <c r="F77" s="214">
        <f t="shared" si="16"/>
        <v>3019</v>
      </c>
      <c r="G77" s="141">
        <f>GEMSA!$J$17</f>
        <v>6.5000000000000002E-2</v>
      </c>
      <c r="H77" s="145">
        <v>1.7500000000000002E-2</v>
      </c>
      <c r="I77" s="144">
        <f t="shared" si="10"/>
        <v>41.063649881706738</v>
      </c>
      <c r="J77" s="190">
        <f t="shared" si="11"/>
        <v>2.0649823934766292</v>
      </c>
      <c r="K77" s="142"/>
      <c r="L77" s="138">
        <f t="shared" si="12"/>
        <v>0.23809368228628625</v>
      </c>
      <c r="M77" s="27">
        <f t="shared" si="13"/>
        <v>2.3030760757629154</v>
      </c>
      <c r="N77" s="27"/>
      <c r="O77" s="163">
        <f t="shared" si="14"/>
        <v>2.0759340176364343</v>
      </c>
      <c r="P77" s="158">
        <f t="shared" si="15"/>
        <v>2.0759340176364341E-2</v>
      </c>
    </row>
    <row r="78" spans="4:16" ht="13.8" x14ac:dyDescent="0.3">
      <c r="D78" s="222">
        <f t="shared" si="17"/>
        <v>100</v>
      </c>
      <c r="E78" s="213">
        <f t="shared" si="18"/>
        <v>47754</v>
      </c>
      <c r="F78" s="214">
        <f t="shared" si="16"/>
        <v>3050</v>
      </c>
      <c r="G78" s="141">
        <f>GEMSA!$J$17</f>
        <v>6.5000000000000002E-2</v>
      </c>
      <c r="H78" s="145">
        <v>1.7500000000000002E-2</v>
      </c>
      <c r="I78" s="144">
        <f t="shared" si="10"/>
        <v>38.998667488230112</v>
      </c>
      <c r="J78" s="190">
        <f t="shared" si="11"/>
        <v>2.0649823934766292</v>
      </c>
      <c r="K78" s="142"/>
      <c r="L78" s="138">
        <f t="shared" si="12"/>
        <v>0.22669384797709335</v>
      </c>
      <c r="M78" s="27">
        <f t="shared" si="13"/>
        <v>2.2916762414537226</v>
      </c>
      <c r="N78" s="27"/>
      <c r="O78" s="163">
        <f t="shared" si="14"/>
        <v>2.0634572590135383</v>
      </c>
      <c r="P78" s="158">
        <f t="shared" si="15"/>
        <v>2.0634572590135382E-2</v>
      </c>
    </row>
    <row r="79" spans="4:16" ht="13.8" x14ac:dyDescent="0.3">
      <c r="D79" s="222">
        <f t="shared" si="17"/>
        <v>101</v>
      </c>
      <c r="E79" s="213">
        <f t="shared" si="18"/>
        <v>47784</v>
      </c>
      <c r="F79" s="214">
        <f t="shared" si="16"/>
        <v>3080</v>
      </c>
      <c r="G79" s="141">
        <f>GEMSA!$J$17</f>
        <v>6.5000000000000002E-2</v>
      </c>
      <c r="H79" s="145">
        <v>1.7500000000000002E-2</v>
      </c>
      <c r="I79" s="144">
        <f t="shared" si="10"/>
        <v>36.933685094753486</v>
      </c>
      <c r="J79" s="190">
        <f t="shared" si="11"/>
        <v>2.0649823934766292</v>
      </c>
      <c r="K79" s="142"/>
      <c r="L79" s="138">
        <f t="shared" si="12"/>
        <v>0.20834904548506497</v>
      </c>
      <c r="M79" s="27">
        <f t="shared" si="13"/>
        <v>2.2733314389616943</v>
      </c>
      <c r="N79" s="27"/>
      <c r="O79" s="163">
        <f t="shared" si="14"/>
        <v>2.0448283798324058</v>
      </c>
      <c r="P79" s="158">
        <f t="shared" si="15"/>
        <v>2.0448283798324057E-2</v>
      </c>
    </row>
    <row r="80" spans="4:16" ht="13.8" x14ac:dyDescent="0.3">
      <c r="D80" s="222">
        <f t="shared" si="17"/>
        <v>102</v>
      </c>
      <c r="E80" s="213">
        <f t="shared" si="18"/>
        <v>47815</v>
      </c>
      <c r="F80" s="214">
        <f t="shared" si="16"/>
        <v>3111</v>
      </c>
      <c r="G80" s="141">
        <f>GEMSA!$J$17</f>
        <v>6.5000000000000002E-2</v>
      </c>
      <c r="H80" s="145">
        <v>1.7500000000000002E-2</v>
      </c>
      <c r="I80" s="144">
        <f t="shared" si="10"/>
        <v>34.86870270127686</v>
      </c>
      <c r="J80" s="190">
        <f t="shared" si="11"/>
        <v>2.0649823934766292</v>
      </c>
      <c r="K80" s="142"/>
      <c r="L80" s="138">
        <f t="shared" si="12"/>
        <v>0.2038941793587076</v>
      </c>
      <c r="M80" s="27">
        <f t="shared" si="13"/>
        <v>2.2688765728353366</v>
      </c>
      <c r="N80" s="27"/>
      <c r="O80" s="163">
        <f t="shared" si="14"/>
        <v>2.0386465214988867</v>
      </c>
      <c r="P80" s="158">
        <f t="shared" si="15"/>
        <v>2.0386465214988866E-2</v>
      </c>
    </row>
    <row r="81" spans="4:16" ht="13.8" x14ac:dyDescent="0.3">
      <c r="D81" s="222">
        <f t="shared" si="17"/>
        <v>103</v>
      </c>
      <c r="E81" s="213">
        <f t="shared" si="18"/>
        <v>47845</v>
      </c>
      <c r="F81" s="214">
        <f t="shared" si="16"/>
        <v>3141</v>
      </c>
      <c r="G81" s="141">
        <f>GEMSA!$J$17</f>
        <v>6.5000000000000002E-2</v>
      </c>
      <c r="H81" s="145">
        <v>1.7500000000000002E-2</v>
      </c>
      <c r="I81" s="144">
        <f t="shared" si="10"/>
        <v>32.803720307800234</v>
      </c>
      <c r="J81" s="190">
        <f t="shared" si="11"/>
        <v>2.0649823934766292</v>
      </c>
      <c r="K81" s="142"/>
      <c r="L81" s="138">
        <f t="shared" si="12"/>
        <v>0.18628485004791745</v>
      </c>
      <c r="M81" s="27">
        <f t="shared" si="13"/>
        <v>2.2512672435245467</v>
      </c>
      <c r="N81" s="27"/>
      <c r="O81" s="163">
        <f t="shared" si="14"/>
        <v>2.0207379727518031</v>
      </c>
      <c r="P81" s="158">
        <f t="shared" si="15"/>
        <v>2.0207379727518029E-2</v>
      </c>
    </row>
    <row r="82" spans="4:16" ht="13.8" x14ac:dyDescent="0.3">
      <c r="D82" s="222">
        <f t="shared" si="17"/>
        <v>104</v>
      </c>
      <c r="E82" s="213">
        <f t="shared" si="18"/>
        <v>47876</v>
      </c>
      <c r="F82" s="214">
        <f t="shared" si="16"/>
        <v>3172</v>
      </c>
      <c r="G82" s="141">
        <f>GEMSA!$J$17</f>
        <v>6.5000000000000002E-2</v>
      </c>
      <c r="H82" s="145">
        <v>1.7500000000000002E-2</v>
      </c>
      <c r="I82" s="144">
        <f t="shared" si="10"/>
        <v>30.738737914323604</v>
      </c>
      <c r="J82" s="190">
        <f t="shared" si="11"/>
        <v>2.0649823934766292</v>
      </c>
      <c r="K82" s="142"/>
      <c r="L82" s="138">
        <f t="shared" si="12"/>
        <v>0.18109451074032185</v>
      </c>
      <c r="M82" s="27">
        <f t="shared" si="13"/>
        <v>2.2460769042169511</v>
      </c>
      <c r="N82" s="27"/>
      <c r="O82" s="163">
        <f t="shared" si="14"/>
        <v>2.0139307177708869</v>
      </c>
      <c r="P82" s="158">
        <f t="shared" si="15"/>
        <v>2.0139307177708871E-2</v>
      </c>
    </row>
    <row r="83" spans="4:16" ht="13.8" x14ac:dyDescent="0.3">
      <c r="D83" s="222">
        <f t="shared" si="17"/>
        <v>105</v>
      </c>
      <c r="E83" s="213">
        <f t="shared" si="18"/>
        <v>47907</v>
      </c>
      <c r="F83" s="214">
        <f t="shared" si="16"/>
        <v>3203</v>
      </c>
      <c r="G83" s="141">
        <f>GEMSA!$J$17</f>
        <v>6.5000000000000002E-2</v>
      </c>
      <c r="H83" s="145">
        <v>1.7500000000000002E-2</v>
      </c>
      <c r="I83" s="144">
        <f t="shared" si="10"/>
        <v>28.673755520846974</v>
      </c>
      <c r="J83" s="190">
        <f t="shared" si="11"/>
        <v>2.0649823934766292</v>
      </c>
      <c r="K83" s="142"/>
      <c r="L83" s="138">
        <f t="shared" si="12"/>
        <v>0.16969467643112895</v>
      </c>
      <c r="M83" s="27">
        <f t="shared" si="13"/>
        <v>2.2346770699077583</v>
      </c>
      <c r="N83" s="27"/>
      <c r="O83" s="163">
        <f t="shared" si="14"/>
        <v>2.0015739047233785</v>
      </c>
      <c r="P83" s="158">
        <f t="shared" si="15"/>
        <v>2.0015739047233784E-2</v>
      </c>
    </row>
    <row r="84" spans="4:16" ht="13.8" x14ac:dyDescent="0.3">
      <c r="D84" s="222">
        <f t="shared" si="17"/>
        <v>106</v>
      </c>
      <c r="E84" s="213">
        <f t="shared" si="18"/>
        <v>47935</v>
      </c>
      <c r="F84" s="214">
        <f t="shared" si="16"/>
        <v>3231</v>
      </c>
      <c r="G84" s="141">
        <f>GEMSA!$J$17</f>
        <v>6.5000000000000002E-2</v>
      </c>
      <c r="H84" s="145">
        <v>1.7500000000000002E-2</v>
      </c>
      <c r="I84" s="144">
        <f t="shared" si="10"/>
        <v>26.608773127370345</v>
      </c>
      <c r="J84" s="190">
        <f t="shared" si="11"/>
        <v>2.0649823934766292</v>
      </c>
      <c r="K84" s="142"/>
      <c r="L84" s="138">
        <f t="shared" si="12"/>
        <v>0.14297598643271642</v>
      </c>
      <c r="M84" s="27">
        <f t="shared" si="13"/>
        <v>2.2079583799093454</v>
      </c>
      <c r="N84" s="27"/>
      <c r="O84" s="163">
        <f t="shared" si="14"/>
        <v>1.9757386916406516</v>
      </c>
      <c r="P84" s="158">
        <f t="shared" si="15"/>
        <v>1.9757386916406515E-2</v>
      </c>
    </row>
    <row r="85" spans="4:16" ht="13.8" x14ac:dyDescent="0.3">
      <c r="D85" s="222">
        <f t="shared" si="17"/>
        <v>107</v>
      </c>
      <c r="E85" s="213">
        <f t="shared" si="18"/>
        <v>47966</v>
      </c>
      <c r="F85" s="214">
        <f t="shared" si="16"/>
        <v>3262</v>
      </c>
      <c r="G85" s="141">
        <f>GEMSA!$J$17</f>
        <v>6.5000000000000002E-2</v>
      </c>
      <c r="H85" s="145">
        <v>1.7500000000000002E-2</v>
      </c>
      <c r="I85" s="144">
        <f t="shared" si="10"/>
        <v>24.543790733893715</v>
      </c>
      <c r="J85" s="190">
        <f t="shared" si="11"/>
        <v>2.0649823934766292</v>
      </c>
      <c r="K85" s="142"/>
      <c r="L85" s="138">
        <f t="shared" si="12"/>
        <v>0.14689500781274314</v>
      </c>
      <c r="M85" s="27">
        <f t="shared" si="13"/>
        <v>2.2118774012893723</v>
      </c>
      <c r="N85" s="27"/>
      <c r="O85" s="163">
        <f t="shared" si="14"/>
        <v>1.9771363799893078</v>
      </c>
      <c r="P85" s="158">
        <f t="shared" si="15"/>
        <v>1.9771363799893079E-2</v>
      </c>
    </row>
    <row r="86" spans="4:16" ht="13.8" x14ac:dyDescent="0.3">
      <c r="D86" s="222">
        <f t="shared" si="17"/>
        <v>108</v>
      </c>
      <c r="E86" s="213">
        <f t="shared" si="18"/>
        <v>47996</v>
      </c>
      <c r="F86" s="214">
        <f t="shared" si="16"/>
        <v>3292</v>
      </c>
      <c r="G86" s="141">
        <f>GEMSA!$J$17</f>
        <v>6.5000000000000002E-2</v>
      </c>
      <c r="H86" s="145">
        <v>1.7500000000000002E-2</v>
      </c>
      <c r="I86" s="144">
        <f t="shared" si="10"/>
        <v>22.478808340417086</v>
      </c>
      <c r="J86" s="190">
        <f t="shared" si="11"/>
        <v>2.0649823934766292</v>
      </c>
      <c r="K86" s="142"/>
      <c r="L86" s="138">
        <f t="shared" si="12"/>
        <v>0.1311243614550486</v>
      </c>
      <c r="M86" s="27">
        <f t="shared" si="13"/>
        <v>2.196106754931678</v>
      </c>
      <c r="N86" s="27"/>
      <c r="O86" s="163">
        <f t="shared" si="14"/>
        <v>1.9610149939453592</v>
      </c>
      <c r="P86" s="158">
        <f t="shared" si="15"/>
        <v>1.9610149939453592E-2</v>
      </c>
    </row>
    <row r="87" spans="4:16" ht="13.8" x14ac:dyDescent="0.3">
      <c r="D87" s="222">
        <f t="shared" si="17"/>
        <v>109</v>
      </c>
      <c r="E87" s="213">
        <f t="shared" si="18"/>
        <v>48027</v>
      </c>
      <c r="F87" s="214">
        <f t="shared" si="16"/>
        <v>3323</v>
      </c>
      <c r="G87" s="141">
        <f>GEMSA!$J$17</f>
        <v>6.5000000000000002E-2</v>
      </c>
      <c r="H87" s="145">
        <v>1.6500000000000001E-2</v>
      </c>
      <c r="I87" s="144">
        <f t="shared" si="10"/>
        <v>20.531824940853408</v>
      </c>
      <c r="J87" s="190">
        <f t="shared" si="11"/>
        <v>1.9469833995636787</v>
      </c>
      <c r="K87" s="142"/>
      <c r="L87" s="138">
        <f t="shared" si="12"/>
        <v>0.12409533919435733</v>
      </c>
      <c r="M87" s="27">
        <f t="shared" si="13"/>
        <v>2.0710787387580361</v>
      </c>
      <c r="N87" s="27"/>
      <c r="O87" s="163">
        <f t="shared" si="14"/>
        <v>1.8474003880238807</v>
      </c>
      <c r="P87" s="158">
        <f t="shared" si="15"/>
        <v>1.8474003880238808E-2</v>
      </c>
    </row>
    <row r="88" spans="4:16" ht="13.8" x14ac:dyDescent="0.3">
      <c r="D88" s="222">
        <f t="shared" si="17"/>
        <v>110</v>
      </c>
      <c r="E88" s="213">
        <f t="shared" si="18"/>
        <v>48057</v>
      </c>
      <c r="F88" s="214">
        <f t="shared" si="16"/>
        <v>3353</v>
      </c>
      <c r="G88" s="141">
        <f>GEMSA!$J$17</f>
        <v>6.5000000000000002E-2</v>
      </c>
      <c r="H88" s="145">
        <v>1.6500000000000001E-2</v>
      </c>
      <c r="I88" s="144">
        <f t="shared" si="10"/>
        <v>18.58484154128973</v>
      </c>
      <c r="J88" s="190">
        <f t="shared" si="11"/>
        <v>1.9469833995636787</v>
      </c>
      <c r="K88" s="142"/>
      <c r="L88" s="138">
        <f t="shared" si="12"/>
        <v>0.10969057160181957</v>
      </c>
      <c r="M88" s="27">
        <f t="shared" si="13"/>
        <v>2.0566739711654982</v>
      </c>
      <c r="N88" s="27"/>
      <c r="O88" s="163">
        <f t="shared" si="14"/>
        <v>1.8326594161110838</v>
      </c>
      <c r="P88" s="158">
        <f t="shared" si="15"/>
        <v>1.8326594161110838E-2</v>
      </c>
    </row>
    <row r="89" spans="4:16" ht="13.8" x14ac:dyDescent="0.3">
      <c r="D89" s="222">
        <f t="shared" si="17"/>
        <v>111</v>
      </c>
      <c r="E89" s="213">
        <f t="shared" si="18"/>
        <v>48088</v>
      </c>
      <c r="F89" s="214">
        <f t="shared" si="16"/>
        <v>3384</v>
      </c>
      <c r="G89" s="141">
        <f>GEMSA!$J$17</f>
        <v>6.5000000000000002E-2</v>
      </c>
      <c r="H89" s="145">
        <v>1.6500000000000001E-2</v>
      </c>
      <c r="I89" s="144">
        <f t="shared" si="10"/>
        <v>16.637858141726053</v>
      </c>
      <c r="J89" s="190">
        <f t="shared" si="11"/>
        <v>1.9469833995636787</v>
      </c>
      <c r="K89" s="142"/>
      <c r="L89" s="138">
        <f t="shared" si="12"/>
        <v>0.10259850878273646</v>
      </c>
      <c r="M89" s="27">
        <f t="shared" si="13"/>
        <v>2.0495819083464153</v>
      </c>
      <c r="N89" s="27"/>
      <c r="O89" s="163">
        <f t="shared" si="14"/>
        <v>1.8243936140151316</v>
      </c>
      <c r="P89" s="158">
        <f t="shared" si="15"/>
        <v>1.8243936140151316E-2</v>
      </c>
    </row>
    <row r="90" spans="4:16" ht="13.8" x14ac:dyDescent="0.3">
      <c r="D90" s="222">
        <f t="shared" si="17"/>
        <v>112</v>
      </c>
      <c r="E90" s="213">
        <f t="shared" si="18"/>
        <v>48119</v>
      </c>
      <c r="F90" s="214">
        <f t="shared" si="16"/>
        <v>3415</v>
      </c>
      <c r="G90" s="141">
        <f>GEMSA!$J$17</f>
        <v>6.5000000000000002E-2</v>
      </c>
      <c r="H90" s="145">
        <v>1.6500000000000001E-2</v>
      </c>
      <c r="I90" s="144">
        <f t="shared" si="10"/>
        <v>14.690874742162373</v>
      </c>
      <c r="J90" s="190">
        <f t="shared" si="11"/>
        <v>1.9469833995636787</v>
      </c>
      <c r="K90" s="142"/>
      <c r="L90" s="138">
        <f t="shared" si="12"/>
        <v>9.1850093576926015E-2</v>
      </c>
      <c r="M90" s="27">
        <f t="shared" si="13"/>
        <v>2.0388334931406047</v>
      </c>
      <c r="N90" s="27"/>
      <c r="O90" s="163">
        <f t="shared" si="14"/>
        <v>1.812892188051421</v>
      </c>
      <c r="P90" s="158">
        <f t="shared" si="15"/>
        <v>1.8128921880514209E-2</v>
      </c>
    </row>
    <row r="91" spans="4:16" ht="13.8" x14ac:dyDescent="0.3">
      <c r="D91" s="222">
        <f t="shared" si="17"/>
        <v>113</v>
      </c>
      <c r="E91" s="213">
        <f t="shared" si="18"/>
        <v>48149</v>
      </c>
      <c r="F91" s="214">
        <f t="shared" si="16"/>
        <v>3445</v>
      </c>
      <c r="G91" s="141">
        <f>GEMSA!$J$17</f>
        <v>6.5000000000000002E-2</v>
      </c>
      <c r="H91" s="145">
        <v>1.6500000000000001E-2</v>
      </c>
      <c r="I91" s="144">
        <f t="shared" si="10"/>
        <v>12.743891342598694</v>
      </c>
      <c r="J91" s="190">
        <f t="shared" si="11"/>
        <v>1.9469833995636787</v>
      </c>
      <c r="K91" s="142"/>
      <c r="L91" s="138">
        <f t="shared" si="12"/>
        <v>7.8485495197853763E-2</v>
      </c>
      <c r="M91" s="27">
        <f t="shared" si="13"/>
        <v>2.0254688947615325</v>
      </c>
      <c r="N91" s="27"/>
      <c r="O91" s="163">
        <f t="shared" si="14"/>
        <v>1.7991512996794219</v>
      </c>
      <c r="P91" s="158">
        <f t="shared" si="15"/>
        <v>1.7991512996794218E-2</v>
      </c>
    </row>
    <row r="92" spans="4:16" ht="13.8" x14ac:dyDescent="0.3">
      <c r="D92" s="222">
        <f t="shared" si="17"/>
        <v>114</v>
      </c>
      <c r="E92" s="213">
        <f t="shared" si="18"/>
        <v>48180</v>
      </c>
      <c r="F92" s="214">
        <f t="shared" si="16"/>
        <v>3476</v>
      </c>
      <c r="G92" s="141">
        <f>GEMSA!$J$17</f>
        <v>6.5000000000000002E-2</v>
      </c>
      <c r="H92" s="145">
        <v>1.6500000000000001E-2</v>
      </c>
      <c r="I92" s="144">
        <f t="shared" si="10"/>
        <v>10.796907943035015</v>
      </c>
      <c r="J92" s="190">
        <f t="shared" si="11"/>
        <v>1.9469833995636787</v>
      </c>
      <c r="K92" s="142"/>
      <c r="L92" s="138">
        <f t="shared" si="12"/>
        <v>7.0353263165305116E-2</v>
      </c>
      <c r="M92" s="27">
        <f t="shared" si="13"/>
        <v>2.0173366627289839</v>
      </c>
      <c r="N92" s="27"/>
      <c r="O92" s="163">
        <f t="shared" si="14"/>
        <v>1.7900181883145203</v>
      </c>
      <c r="P92" s="158">
        <f t="shared" si="15"/>
        <v>1.7900181883145204E-2</v>
      </c>
    </row>
    <row r="93" spans="4:16" ht="13.8" x14ac:dyDescent="0.3">
      <c r="D93" s="222">
        <f t="shared" si="17"/>
        <v>115</v>
      </c>
      <c r="E93" s="213">
        <f t="shared" si="18"/>
        <v>48210</v>
      </c>
      <c r="F93" s="214">
        <f t="shared" si="16"/>
        <v>3506</v>
      </c>
      <c r="G93" s="141">
        <f>GEMSA!$J$17</f>
        <v>6.5000000000000002E-2</v>
      </c>
      <c r="H93" s="145">
        <v>1.6500000000000001E-2</v>
      </c>
      <c r="I93" s="144">
        <f t="shared" si="10"/>
        <v>8.8499245434713352</v>
      </c>
      <c r="J93" s="190">
        <f t="shared" si="11"/>
        <v>1.9469833995636787</v>
      </c>
      <c r="K93" s="142"/>
      <c r="L93" s="138">
        <f t="shared" si="12"/>
        <v>5.7682110928543223E-2</v>
      </c>
      <c r="M93" s="27">
        <f t="shared" si="13"/>
        <v>2.004665510492222</v>
      </c>
      <c r="N93" s="27"/>
      <c r="O93" s="163">
        <f t="shared" si="14"/>
        <v>1.7769404417820991</v>
      </c>
      <c r="P93" s="158">
        <f t="shared" si="15"/>
        <v>1.7769404417820992E-2</v>
      </c>
    </row>
    <row r="94" spans="4:16" ht="13.8" x14ac:dyDescent="0.3">
      <c r="D94" s="222">
        <f t="shared" si="17"/>
        <v>116</v>
      </c>
      <c r="E94" s="213">
        <f t="shared" si="18"/>
        <v>48241</v>
      </c>
      <c r="F94" s="214">
        <f t="shared" si="16"/>
        <v>3537</v>
      </c>
      <c r="G94" s="141">
        <f>GEMSA!$J$17</f>
        <v>6.5000000000000002E-2</v>
      </c>
      <c r="H94" s="145">
        <v>1.6500000000000001E-2</v>
      </c>
      <c r="I94" s="144">
        <f t="shared" si="10"/>
        <v>6.9029411439076567</v>
      </c>
      <c r="J94" s="190">
        <f t="shared" si="11"/>
        <v>1.9469833995636787</v>
      </c>
      <c r="K94" s="142"/>
      <c r="L94" s="138">
        <f t="shared" si="12"/>
        <v>4.8856432753684224E-2</v>
      </c>
      <c r="M94" s="27">
        <f t="shared" si="13"/>
        <v>1.9958398323173629</v>
      </c>
      <c r="N94" s="27"/>
      <c r="O94" s="163">
        <f t="shared" si="14"/>
        <v>1.7672321048704585</v>
      </c>
      <c r="P94" s="158">
        <f t="shared" si="15"/>
        <v>1.7672321048704583E-2</v>
      </c>
    </row>
    <row r="95" spans="4:16" ht="13.8" x14ac:dyDescent="0.3">
      <c r="D95" s="222">
        <f t="shared" si="17"/>
        <v>117</v>
      </c>
      <c r="E95" s="213">
        <f t="shared" si="18"/>
        <v>48272</v>
      </c>
      <c r="F95" s="214">
        <f t="shared" si="16"/>
        <v>3568</v>
      </c>
      <c r="G95" s="141">
        <f>GEMSA!$J$17</f>
        <v>6.5000000000000002E-2</v>
      </c>
      <c r="H95" s="145">
        <v>1.6500000000000001E-2</v>
      </c>
      <c r="I95" s="144">
        <f t="shared" si="10"/>
        <v>4.9559577443439782</v>
      </c>
      <c r="J95" s="190">
        <f t="shared" si="11"/>
        <v>1.9469833995636787</v>
      </c>
      <c r="K95" s="142"/>
      <c r="L95" s="138">
        <f t="shared" si="12"/>
        <v>3.8108017547873775E-2</v>
      </c>
      <c r="M95" s="27">
        <f t="shared" si="13"/>
        <v>1.9850914171115526</v>
      </c>
      <c r="N95" s="27"/>
      <c r="O95" s="163">
        <f t="shared" si="14"/>
        <v>1.7558417527915191</v>
      </c>
      <c r="P95" s="158">
        <f t="shared" si="15"/>
        <v>1.7558417527915191E-2</v>
      </c>
    </row>
    <row r="96" spans="4:16" ht="13.8" x14ac:dyDescent="0.3">
      <c r="D96" s="222">
        <f t="shared" si="17"/>
        <v>118</v>
      </c>
      <c r="E96" s="213">
        <f t="shared" si="18"/>
        <v>48301</v>
      </c>
      <c r="F96" s="214">
        <f t="shared" si="16"/>
        <v>3597</v>
      </c>
      <c r="G96" s="141">
        <f>GEMSA!$J$17</f>
        <v>6.5000000000000002E-2</v>
      </c>
      <c r="H96" s="145">
        <v>1.6500000000000001E-2</v>
      </c>
      <c r="I96" s="144">
        <f t="shared" si="10"/>
        <v>3.0089743447802997</v>
      </c>
      <c r="J96" s="190">
        <f t="shared" si="11"/>
        <v>1.9469833995636787</v>
      </c>
      <c r="K96" s="142"/>
      <c r="L96" s="138">
        <f t="shared" si="12"/>
        <v>2.5594466707091507E-2</v>
      </c>
      <c r="M96" s="27">
        <f t="shared" si="13"/>
        <v>1.9725778662707703</v>
      </c>
      <c r="N96" s="27"/>
      <c r="O96" s="163">
        <f t="shared" si="14"/>
        <v>1.7430339403765962</v>
      </c>
      <c r="P96" s="158">
        <f t="shared" si="15"/>
        <v>1.7430339403765961E-2</v>
      </c>
    </row>
    <row r="97" spans="4:16" ht="13.8" x14ac:dyDescent="0.3">
      <c r="D97" s="222">
        <f t="shared" si="17"/>
        <v>119</v>
      </c>
      <c r="E97" s="213">
        <f t="shared" si="18"/>
        <v>48332</v>
      </c>
      <c r="F97" s="214">
        <f t="shared" si="16"/>
        <v>3628</v>
      </c>
      <c r="G97" s="141">
        <f>GEMSA!$J$17</f>
        <v>6.5000000000000002E-2</v>
      </c>
      <c r="H97" s="145">
        <v>1.6500000000000001E-2</v>
      </c>
      <c r="I97" s="144">
        <f t="shared" si="10"/>
        <v>1.061990945216621</v>
      </c>
      <c r="J97" s="190">
        <f t="shared" si="11"/>
        <v>1.9469833995636787</v>
      </c>
      <c r="K97" s="142"/>
      <c r="L97" s="138">
        <f t="shared" si="12"/>
        <v>1.6611187136252887E-2</v>
      </c>
      <c r="M97" s="27">
        <f t="shared" si="13"/>
        <v>1.9635945866999316</v>
      </c>
      <c r="N97" s="27"/>
      <c r="O97" s="163">
        <f t="shared" si="14"/>
        <v>1.733247042720095</v>
      </c>
      <c r="P97" s="158">
        <f t="shared" si="15"/>
        <v>1.7332470427200951E-2</v>
      </c>
    </row>
    <row r="98" spans="4:16" ht="13.8" x14ac:dyDescent="0.3">
      <c r="D98" s="222">
        <f t="shared" si="17"/>
        <v>120</v>
      </c>
      <c r="E98" s="213">
        <f t="shared" si="18"/>
        <v>48362</v>
      </c>
      <c r="F98" s="214">
        <f t="shared" si="16"/>
        <v>3658</v>
      </c>
      <c r="G98" s="141">
        <f>GEMSA!$J$17</f>
        <v>6.5000000000000002E-2</v>
      </c>
      <c r="H98" s="145">
        <v>8.9999999999999993E-3</v>
      </c>
      <c r="I98" s="144">
        <f t="shared" si="10"/>
        <v>6.9055872131684737E-14</v>
      </c>
      <c r="J98" s="190">
        <f t="shared" si="11"/>
        <v>1.0619909452165519</v>
      </c>
      <c r="K98" s="142"/>
      <c r="L98" s="138">
        <f t="shared" si="12"/>
        <v>5.6736502552668785E-3</v>
      </c>
      <c r="M98" s="27">
        <f t="shared" si="13"/>
        <v>1.0676645954718187</v>
      </c>
      <c r="N98" s="27"/>
      <c r="O98" s="163">
        <f t="shared" si="14"/>
        <v>0.94144591167214398</v>
      </c>
      <c r="P98" s="158">
        <f t="shared" si="15"/>
        <v>9.4144591167214398E-3</v>
      </c>
    </row>
    <row r="99" spans="4:16" x14ac:dyDescent="0.3">
      <c r="D99" s="179"/>
      <c r="E99" s="228"/>
      <c r="F99" s="180"/>
      <c r="G99" s="180"/>
      <c r="H99" s="181">
        <f>+SUM(H3:H98)</f>
        <v>0.99999999999999922</v>
      </c>
      <c r="I99" s="182"/>
      <c r="J99" s="191">
        <f>+SUM(J5:J98)</f>
        <v>117.99899391295013</v>
      </c>
      <c r="K99" s="180"/>
      <c r="L99" s="182">
        <f>+SUM(L5:L98)</f>
        <v>38.257927995729226</v>
      </c>
      <c r="M99" s="191">
        <f>+SUM(M5:M98)</f>
        <v>156.25692190867954</v>
      </c>
      <c r="N99" s="180"/>
    </row>
    <row r="100" spans="4:16" x14ac:dyDescent="0.3">
      <c r="E100" s="213"/>
    </row>
    <row r="101" spans="4:16" x14ac:dyDescent="0.3">
      <c r="E101" s="213"/>
    </row>
    <row r="102" spans="4:16" x14ac:dyDescent="0.3">
      <c r="E102" s="213"/>
    </row>
    <row r="103" spans="4:16" x14ac:dyDescent="0.3">
      <c r="E103" s="213"/>
    </row>
    <row r="104" spans="4:16" x14ac:dyDescent="0.3">
      <c r="E104" s="213"/>
    </row>
    <row r="105" spans="4:16" x14ac:dyDescent="0.3">
      <c r="E105" s="213"/>
    </row>
    <row r="106" spans="4:16" x14ac:dyDescent="0.3">
      <c r="E106" s="213"/>
    </row>
    <row r="107" spans="4:16" x14ac:dyDescent="0.3">
      <c r="E107" s="213"/>
    </row>
    <row r="108" spans="4:16" x14ac:dyDescent="0.3">
      <c r="E108" s="213"/>
    </row>
    <row r="109" spans="4:16" x14ac:dyDescent="0.3">
      <c r="E109" s="213"/>
    </row>
    <row r="110" spans="4:16" x14ac:dyDescent="0.3">
      <c r="E110" s="213"/>
    </row>
    <row r="111" spans="4:16" x14ac:dyDescent="0.3">
      <c r="E111" s="213"/>
    </row>
    <row r="112" spans="4:16" x14ac:dyDescent="0.3">
      <c r="E112" s="213"/>
    </row>
    <row r="113" spans="5:5" x14ac:dyDescent="0.3">
      <c r="E113" s="213"/>
    </row>
    <row r="114" spans="5:5" x14ac:dyDescent="0.3">
      <c r="E114" s="213"/>
    </row>
    <row r="115" spans="5:5" x14ac:dyDescent="0.3">
      <c r="E115" s="213"/>
    </row>
    <row r="116" spans="5:5" x14ac:dyDescent="0.3">
      <c r="E116" s="213"/>
    </row>
    <row r="117" spans="5:5" x14ac:dyDescent="0.3">
      <c r="E117" s="213"/>
    </row>
    <row r="118" spans="5:5" x14ac:dyDescent="0.3">
      <c r="E118" s="213"/>
    </row>
    <row r="119" spans="5:5" x14ac:dyDescent="0.3">
      <c r="E119" s="213"/>
    </row>
    <row r="120" spans="5:5" x14ac:dyDescent="0.3">
      <c r="E120" s="213"/>
    </row>
    <row r="121" spans="5:5" x14ac:dyDescent="0.3">
      <c r="E121" s="213"/>
    </row>
    <row r="122" spans="5:5" x14ac:dyDescent="0.3">
      <c r="E122" s="213"/>
    </row>
    <row r="123" spans="5:5" x14ac:dyDescent="0.3">
      <c r="E123" s="213"/>
    </row>
    <row r="124" spans="5:5" x14ac:dyDescent="0.3">
      <c r="E124" s="213"/>
    </row>
    <row r="125" spans="5:5" x14ac:dyDescent="0.3">
      <c r="E125" s="213"/>
    </row>
  </sheetData>
  <sheetProtection algorithmName="SHA-512" hashValue="y25HLUyiqkhApbeNxH30zqjtvXwJyA4xSouF9/hBc96z5udNALjZp4OVdxpEJzpEC/j1snxMczhxBRrJb8m+Mw==" saltValue="k5bAQquLeqILSMwVA8pjGA==" spinCount="100000" sheet="1" objects="1" scenarios="1" selectLockedCells="1" selectUnlockedCells="1"/>
  <mergeCells count="1">
    <mergeCell ref="A2:C2"/>
  </mergeCells>
  <pageMargins left="0.7" right="0.7" top="0.75" bottom="0.75" header="0.3" footer="0.3"/>
  <pageSetup orientation="portrait" r:id="rId1"/>
  <ignoredErrors>
    <ignoredError sqref="C1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Interpolacion Curva</vt:lpstr>
      <vt:lpstr>Interpolacion</vt:lpstr>
      <vt:lpstr>GEMSA</vt:lpstr>
      <vt:lpstr>Clase XIV</vt:lpstr>
      <vt:lpstr>Clase XVII</vt:lpstr>
      <vt:lpstr>Clase XVIII</vt:lpstr>
      <vt:lpstr>Clase XIX</vt:lpstr>
    </vt:vector>
  </TitlesOfParts>
  <Company>Banco Itau Argentina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Ponieman</dc:creator>
  <cp:lastModifiedBy>Mlisei</cp:lastModifiedBy>
  <cp:lastPrinted>2012-07-11T16:27:23Z</cp:lastPrinted>
  <dcterms:created xsi:type="dcterms:W3CDTF">2012-05-11T18:43:00Z</dcterms:created>
  <dcterms:modified xsi:type="dcterms:W3CDTF">2022-05-16T18:16:56Z</dcterms:modified>
</cp:coreProperties>
</file>