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aelalisei/Google Drive/Banco/FyE/Emisiones/YPF/YPF/ON - Febrero 2021/"/>
    </mc:Choice>
  </mc:AlternateContent>
  <xr:revisionPtr revIDLastSave="0" documentId="13_ncr:1_{B79431F6-784E-5C41-93F9-00C3177E6A3D}" xr6:coauthVersionLast="43" xr6:coauthVersionMax="45" xr10:uidLastSave="{00000000-0000-0000-0000-000000000000}"/>
  <workbookProtection workbookAlgorithmName="SHA-512" workbookHashValue="3tpIhzJLAVTRoRh9psFxf0KgJXdXITjGtZoT8VkHecs56zAfkiMCiUegb71NwcYcakHgJLsq6wO6OBsD71holQ==" workbookSaltValue="2VX9/kPi4MBU3dXdUCnQQA==" workbookSpinCount="100000" lockStructure="1"/>
  <bookViews>
    <workbookView xWindow="0" yWindow="460" windowWidth="31020" windowHeight="16860" tabRatio="848" xr2:uid="{00000000-000D-0000-FFFF-FFFF00000000}"/>
  </bookViews>
  <sheets>
    <sheet name="YPF" sheetId="15" r:id="rId1"/>
    <sheet name="Clase XIV USD Linked (Reap.)" sheetId="5" r:id="rId2"/>
    <sheet name="Clase XIX UVA" sheetId="10" r:id="rId3"/>
    <sheet name="UVA" sheetId="17" state="hidden" r:id="rId4"/>
  </sheets>
  <definedNames>
    <definedName name="_DV_M3" localSheetId="1">'Clase XIV USD Linked (Reap.)'!$C$7</definedName>
    <definedName name="_DV_M3" localSheetId="2">'Clase XIX UVA'!$C$7</definedName>
    <definedName name="_xlnm.Print_Area" localSheetId="1">'Clase XIV USD Linked (Reap.)'!$B$2:$J$36</definedName>
    <definedName name="_xlnm.Print_Area" localSheetId="2">'Clase XIX UVA'!$B$2:$N$35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0" l="1"/>
  <c r="D9" i="15" l="1"/>
  <c r="I9" i="17" l="1"/>
  <c r="J22" i="15" l="1"/>
  <c r="G29" i="15"/>
  <c r="G31" i="15"/>
  <c r="G32" i="15"/>
  <c r="G33" i="15"/>
  <c r="I3" i="17" l="1"/>
  <c r="H4" i="17" l="1"/>
  <c r="J9" i="15" l="1"/>
  <c r="F9" i="10" s="1"/>
  <c r="M18" i="10" s="1"/>
  <c r="H32" i="10" l="1"/>
  <c r="H30" i="10"/>
  <c r="H31" i="10"/>
  <c r="F4" i="10"/>
  <c r="E10" i="5" l="1"/>
  <c r="E6" i="5"/>
  <c r="E5" i="5"/>
  <c r="E4" i="5"/>
  <c r="J6" i="15"/>
  <c r="F5" i="10" s="1"/>
  <c r="G9" i="15" l="1"/>
  <c r="J4" i="17"/>
  <c r="K4" i="17" s="1"/>
  <c r="L4" i="17"/>
  <c r="J2" i="17"/>
  <c r="K2" i="17" s="1"/>
  <c r="H3" i="17" l="1"/>
  <c r="L3" i="17"/>
  <c r="H2" i="17" l="1"/>
  <c r="G8" i="15"/>
  <c r="D21" i="5"/>
  <c r="F10" i="15" l="1"/>
  <c r="E13" i="5" l="1"/>
  <c r="J32" i="10" l="1"/>
  <c r="J28" i="10"/>
  <c r="J24" i="10"/>
  <c r="J20" i="10"/>
  <c r="J25" i="10"/>
  <c r="J31" i="10"/>
  <c r="J27" i="10"/>
  <c r="J23" i="10"/>
  <c r="J19" i="10"/>
  <c r="J29" i="10"/>
  <c r="J21" i="10"/>
  <c r="J30" i="10"/>
  <c r="J26" i="10"/>
  <c r="J22" i="10"/>
  <c r="A4" i="5"/>
  <c r="A5" i="5" s="1"/>
  <c r="G18" i="15" l="1"/>
  <c r="G19" i="15" s="1"/>
  <c r="G13" i="15"/>
  <c r="G22" i="15" l="1"/>
  <c r="G14" i="15" l="1"/>
  <c r="D20" i="5" l="1"/>
  <c r="E21" i="5" s="1"/>
  <c r="F33" i="5" l="1"/>
  <c r="F26" i="5"/>
  <c r="H26" i="5"/>
  <c r="F27" i="5"/>
  <c r="H27" i="5"/>
  <c r="F28" i="5"/>
  <c r="H28" i="5"/>
  <c r="F29" i="5"/>
  <c r="H29" i="5"/>
  <c r="F30" i="5"/>
  <c r="H30" i="5"/>
  <c r="F31" i="5"/>
  <c r="H31" i="5"/>
  <c r="H32" i="5"/>
  <c r="F32" i="5"/>
  <c r="F22" i="5"/>
  <c r="H22" i="5"/>
  <c r="F23" i="5"/>
  <c r="H23" i="5"/>
  <c r="F24" i="5"/>
  <c r="H24" i="5"/>
  <c r="F25" i="5"/>
  <c r="H25" i="5"/>
  <c r="H33" i="5"/>
  <c r="H20" i="10" l="1"/>
  <c r="H21" i="10"/>
  <c r="H22" i="10"/>
  <c r="H23" i="10"/>
  <c r="H24" i="10"/>
  <c r="H25" i="10"/>
  <c r="H26" i="10"/>
  <c r="H27" i="10"/>
  <c r="H28" i="10"/>
  <c r="H29" i="10"/>
  <c r="H19" i="10"/>
  <c r="J20" i="5"/>
  <c r="D33" i="5"/>
  <c r="A33" i="5" s="1"/>
  <c r="G19" i="10"/>
  <c r="D18" i="10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E30" i="10" s="1"/>
  <c r="F30" i="10" l="1"/>
  <c r="D31" i="10"/>
  <c r="E31" i="10" s="1"/>
  <c r="D32" i="5"/>
  <c r="A32" i="5" s="1"/>
  <c r="G20" i="10"/>
  <c r="E19" i="10"/>
  <c r="F19" i="10"/>
  <c r="L19" i="10" s="1"/>
  <c r="F20" i="10"/>
  <c r="E20" i="10"/>
  <c r="I34" i="10"/>
  <c r="G21" i="10" l="1"/>
  <c r="L20" i="10"/>
  <c r="M20" i="10" s="1"/>
  <c r="M19" i="10"/>
  <c r="F31" i="10"/>
  <c r="D32" i="10"/>
  <c r="E33" i="5"/>
  <c r="D31" i="5"/>
  <c r="A31" i="5" s="1"/>
  <c r="F21" i="10"/>
  <c r="E21" i="10"/>
  <c r="G22" i="10"/>
  <c r="G34" i="5"/>
  <c r="S20" i="10" l="1"/>
  <c r="G23" i="10"/>
  <c r="L21" i="10"/>
  <c r="M21" i="10" s="1"/>
  <c r="F32" i="10"/>
  <c r="E32" i="10"/>
  <c r="E32" i="5"/>
  <c r="I32" i="5" s="1"/>
  <c r="J32" i="5" s="1"/>
  <c r="D30" i="5"/>
  <c r="S19" i="10"/>
  <c r="F22" i="10"/>
  <c r="L22" i="10" s="1"/>
  <c r="E22" i="10"/>
  <c r="G24" i="10" l="1"/>
  <c r="E31" i="5"/>
  <c r="I31" i="5" s="1"/>
  <c r="J31" i="5" s="1"/>
  <c r="A30" i="5"/>
  <c r="D29" i="5"/>
  <c r="E23" i="10"/>
  <c r="F23" i="10"/>
  <c r="L23" i="10" s="1"/>
  <c r="G25" i="10" l="1"/>
  <c r="E30" i="5"/>
  <c r="I30" i="5" s="1"/>
  <c r="J30" i="5" s="1"/>
  <c r="A29" i="5"/>
  <c r="D28" i="5"/>
  <c r="S21" i="10"/>
  <c r="F24" i="10"/>
  <c r="L24" i="10" s="1"/>
  <c r="E24" i="10"/>
  <c r="G26" i="10" l="1"/>
  <c r="E29" i="5"/>
  <c r="I29" i="5" s="1"/>
  <c r="J29" i="5" s="1"/>
  <c r="A28" i="5"/>
  <c r="D27" i="5"/>
  <c r="A27" i="5" s="1"/>
  <c r="I33" i="5"/>
  <c r="J33" i="5" s="1"/>
  <c r="F25" i="10"/>
  <c r="L25" i="10" s="1"/>
  <c r="E25" i="10"/>
  <c r="G27" i="10" l="1"/>
  <c r="D26" i="5"/>
  <c r="A26" i="5" s="1"/>
  <c r="E28" i="5"/>
  <c r="I28" i="5" s="1"/>
  <c r="J28" i="5" s="1"/>
  <c r="F26" i="10"/>
  <c r="L26" i="10" s="1"/>
  <c r="E26" i="10"/>
  <c r="G28" i="10" l="1"/>
  <c r="D25" i="5"/>
  <c r="E27" i="5"/>
  <c r="I27" i="5" s="1"/>
  <c r="J27" i="5" s="1"/>
  <c r="E27" i="10"/>
  <c r="F27" i="10"/>
  <c r="L27" i="10" s="1"/>
  <c r="G29" i="10" l="1"/>
  <c r="E26" i="5"/>
  <c r="I26" i="5" s="1"/>
  <c r="J26" i="5" s="1"/>
  <c r="D24" i="5"/>
  <c r="D23" i="5" s="1"/>
  <c r="D22" i="5" s="1"/>
  <c r="E22" i="5" s="1"/>
  <c r="A25" i="5"/>
  <c r="F28" i="10"/>
  <c r="L28" i="10" s="1"/>
  <c r="E28" i="10"/>
  <c r="G30" i="10" l="1"/>
  <c r="A24" i="5"/>
  <c r="E24" i="5"/>
  <c r="I24" i="5" s="1"/>
  <c r="J24" i="5" s="1"/>
  <c r="E25" i="5"/>
  <c r="I25" i="5" s="1"/>
  <c r="J25" i="5" s="1"/>
  <c r="F29" i="10"/>
  <c r="L29" i="10" s="1"/>
  <c r="E29" i="10"/>
  <c r="G31" i="10" l="1"/>
  <c r="L30" i="10"/>
  <c r="M30" i="10" s="1"/>
  <c r="A23" i="5"/>
  <c r="A22" i="5"/>
  <c r="E23" i="5"/>
  <c r="I23" i="5" s="1"/>
  <c r="J23" i="5" s="1"/>
  <c r="S30" i="10" l="1"/>
  <c r="G32" i="10"/>
  <c r="L32" i="10" s="1"/>
  <c r="M32" i="10" s="1"/>
  <c r="L31" i="10"/>
  <c r="M31" i="10" s="1"/>
  <c r="I22" i="5"/>
  <c r="J22" i="5" s="1"/>
  <c r="S31" i="10" l="1"/>
  <c r="S32" i="10"/>
  <c r="F34" i="5"/>
  <c r="E11" i="5" l="1"/>
  <c r="D13" i="15" s="1"/>
  <c r="F34" i="10"/>
  <c r="E34" i="5" l="1"/>
  <c r="I34" i="5"/>
  <c r="N13" i="5" l="1"/>
  <c r="E14" i="5"/>
  <c r="D18" i="15" l="1"/>
  <c r="L33" i="5"/>
  <c r="M33" i="5" s="1"/>
  <c r="M34" i="5" s="1"/>
  <c r="L29" i="5"/>
  <c r="M29" i="5" s="1"/>
  <c r="L25" i="5"/>
  <c r="M25" i="5" s="1"/>
  <c r="E15" i="5"/>
  <c r="D19" i="15" s="1"/>
  <c r="E16" i="5" s="1"/>
  <c r="L28" i="5"/>
  <c r="M28" i="5" s="1"/>
  <c r="L24" i="5"/>
  <c r="M24" i="5" s="1"/>
  <c r="L27" i="5"/>
  <c r="M27" i="5" s="1"/>
  <c r="L31" i="5"/>
  <c r="M31" i="5" s="1"/>
  <c r="L22" i="5"/>
  <c r="M22" i="5" s="1"/>
  <c r="L23" i="5"/>
  <c r="M23" i="5" s="1"/>
  <c r="L30" i="5"/>
  <c r="M30" i="5" s="1"/>
  <c r="L26" i="5"/>
  <c r="M26" i="5" s="1"/>
  <c r="L32" i="5"/>
  <c r="M32" i="5" s="1"/>
  <c r="O32" i="5" l="1"/>
  <c r="N32" i="5"/>
  <c r="O31" i="5"/>
  <c r="N31" i="5"/>
  <c r="O30" i="5"/>
  <c r="N29" i="5"/>
  <c r="N30" i="5"/>
  <c r="O29" i="5"/>
  <c r="N33" i="5"/>
  <c r="O33" i="5"/>
  <c r="O27" i="5"/>
  <c r="N28" i="5"/>
  <c r="O28" i="5"/>
  <c r="N27" i="5"/>
  <c r="N26" i="5"/>
  <c r="O26" i="5"/>
  <c r="O25" i="5"/>
  <c r="N25" i="5"/>
  <c r="N24" i="5"/>
  <c r="O24" i="5"/>
  <c r="N23" i="5"/>
  <c r="O23" i="5"/>
  <c r="N22" i="5"/>
  <c r="O22" i="5"/>
  <c r="L20" i="5"/>
  <c r="M20" i="5"/>
  <c r="E12" i="5" s="1"/>
  <c r="D14" i="15" s="1"/>
  <c r="N20" i="5" l="1"/>
  <c r="O20" i="5"/>
  <c r="E17" i="5" s="1"/>
  <c r="D22" i="15" s="1"/>
  <c r="H34" i="10"/>
  <c r="F11" i="10" s="1"/>
  <c r="J13" i="15" s="1"/>
  <c r="M23" i="10" l="1"/>
  <c r="S23" i="10" l="1"/>
  <c r="M28" i="10" l="1"/>
  <c r="S28" i="10" l="1"/>
  <c r="M29" i="10"/>
  <c r="S29" i="10" l="1"/>
  <c r="G34" i="10" l="1"/>
  <c r="S33" i="10" l="1"/>
  <c r="M25" i="10" l="1"/>
  <c r="M22" i="10"/>
  <c r="S22" i="10" l="1"/>
  <c r="S25" i="10"/>
  <c r="L34" i="10"/>
  <c r="M26" i="10"/>
  <c r="M27" i="10"/>
  <c r="M24" i="10"/>
  <c r="S27" i="10" l="1"/>
  <c r="S26" i="10"/>
  <c r="R14" i="10"/>
  <c r="S24" i="10"/>
  <c r="F14" i="10"/>
  <c r="Q26" i="10" s="1"/>
  <c r="R26" i="10" s="1"/>
  <c r="Q22" i="10" l="1"/>
  <c r="R22" i="10" s="1"/>
  <c r="Q33" i="10"/>
  <c r="R33" i="10" s="1"/>
  <c r="Q23" i="10"/>
  <c r="R23" i="10" s="1"/>
  <c r="Q29" i="10"/>
  <c r="R29" i="10" s="1"/>
  <c r="Q28" i="10"/>
  <c r="R28" i="10" s="1"/>
  <c r="Q32" i="10"/>
  <c r="R32" i="10" s="1"/>
  <c r="F15" i="10"/>
  <c r="Q31" i="10"/>
  <c r="R31" i="10" s="1"/>
  <c r="Q21" i="10"/>
  <c r="R21" i="10" s="1"/>
  <c r="Q30" i="10"/>
  <c r="R30" i="10" s="1"/>
  <c r="Q25" i="10"/>
  <c r="R25" i="10" s="1"/>
  <c r="Q20" i="10"/>
  <c r="R20" i="10" s="1"/>
  <c r="J18" i="15"/>
  <c r="J19" i="15" s="1"/>
  <c r="Q19" i="10"/>
  <c r="Q24" i="10"/>
  <c r="R24" i="10" s="1"/>
  <c r="Q27" i="10"/>
  <c r="R27" i="10" s="1"/>
  <c r="R19" i="10" l="1"/>
  <c r="Q18" i="10"/>
  <c r="R18" i="10" l="1"/>
  <c r="F12" i="10" s="1"/>
  <c r="J14" i="15" s="1"/>
  <c r="R34" i="10"/>
</calcChain>
</file>

<file path=xl/sharedStrings.xml><?xml version="1.0" encoding="utf-8"?>
<sst xmlns="http://schemas.openxmlformats.org/spreadsheetml/2006/main" count="121" uniqueCount="71">
  <si>
    <t>Fecha de Vencimiento:</t>
  </si>
  <si>
    <t>Moneda:</t>
  </si>
  <si>
    <t>Base:</t>
  </si>
  <si>
    <t>N° Cupón</t>
  </si>
  <si>
    <t>Plazo</t>
  </si>
  <si>
    <t>Días</t>
  </si>
  <si>
    <t>Amortización</t>
  </si>
  <si>
    <t>Intereses</t>
  </si>
  <si>
    <t>Flujo</t>
  </si>
  <si>
    <t>VA Flujo</t>
  </si>
  <si>
    <t>Cupón</t>
  </si>
  <si>
    <t>Vida Promedio (años):</t>
  </si>
  <si>
    <t>Precio</t>
  </si>
  <si>
    <t>TIR (TEA)</t>
  </si>
  <si>
    <t>Check</t>
  </si>
  <si>
    <t>Cupón (TNA)</t>
  </si>
  <si>
    <t>Amortización %</t>
  </si>
  <si>
    <t>TNA</t>
  </si>
  <si>
    <t>VN a licitar</t>
  </si>
  <si>
    <t>Fecha de Emisión y Liquidación:</t>
  </si>
  <si>
    <t>US$ Linked</t>
  </si>
  <si>
    <t>Precio a Licitar</t>
  </si>
  <si>
    <t>Duration (años):</t>
  </si>
  <si>
    <t>Tasa Fija a Licitar (TNA)</t>
  </si>
  <si>
    <t>Tasa Solicitada</t>
  </si>
  <si>
    <t>ON CLASE IX - Dólar Linked</t>
  </si>
  <si>
    <t>Fecha de Liquidación:</t>
  </si>
  <si>
    <t>Fecha de Emisión:</t>
  </si>
  <si>
    <t xml:space="preserve">La presente planilla de cálculo debe ser considerada por el interesado al sólo efecto ilustrativo y ejemplificativo. Los resultados que esta arroje no serán vinculantes y pueden sufrir variaciones ante cambios en cualquiera de los supuestos de elaboración. A los efectos de la suscripción de las Obligaciones Negociables, el interesado deberá basarse en sus propios cálculos y evaluación de la información publicada en el Suplemento de Prospecto y en particular las consideraciones de riesgo para la inversión. </t>
  </si>
  <si>
    <t>Tasa</t>
  </si>
  <si>
    <t>TIR Solicitada</t>
  </si>
  <si>
    <t>Fechas de Devengamiento</t>
  </si>
  <si>
    <t xml:space="preserve">Fechas de Devengamiento </t>
  </si>
  <si>
    <t>VN a entregar Clase XI</t>
  </si>
  <si>
    <t>VN a recibir Clase VIII</t>
  </si>
  <si>
    <t>Relación de Canje</t>
  </si>
  <si>
    <t>Fecha de Emisión</t>
  </si>
  <si>
    <t>Fecha de Reapertura</t>
  </si>
  <si>
    <t>Fecha de Vencimiento</t>
  </si>
  <si>
    <t>Vida Promedio (años)</t>
  </si>
  <si>
    <t>Duration (años)</t>
  </si>
  <si>
    <t>Fecha de Liquidación</t>
  </si>
  <si>
    <t>A licitar (Precio ~ 100)</t>
  </si>
  <si>
    <t xml:space="preserve"> Tc Inicial (Prom 3d)</t>
  </si>
  <si>
    <t>Badlar + 4%</t>
  </si>
  <si>
    <t>Integracion en especie c/ ON Clase XI</t>
  </si>
  <si>
    <t>Spread s/Badlar</t>
  </si>
  <si>
    <t>Spread s/Badlar Solicitado</t>
  </si>
  <si>
    <t>Feriados</t>
  </si>
  <si>
    <t>Fechas</t>
  </si>
  <si>
    <t>Badlar Cupón Corrido</t>
  </si>
  <si>
    <t>Badlar a Proyectar</t>
  </si>
  <si>
    <t>ON CLASE XIV - Dólar Linked (reapertura)</t>
  </si>
  <si>
    <t>ON CLASE XIX - $ UVA</t>
  </si>
  <si>
    <t>UVA</t>
  </si>
  <si>
    <t>UVA Conocida</t>
  </si>
  <si>
    <t xml:space="preserve">UVA Inicial </t>
  </si>
  <si>
    <t>Fecha Emision</t>
  </si>
  <si>
    <t xml:space="preserve"> UVA Inicial</t>
  </si>
  <si>
    <t>UVA Inicial</t>
  </si>
  <si>
    <t>UVA Promedio</t>
  </si>
  <si>
    <t>Saldo UVAs</t>
  </si>
  <si>
    <t>Intereses $</t>
  </si>
  <si>
    <t>Valor UVA</t>
  </si>
  <si>
    <t>UVA Ponderada</t>
  </si>
  <si>
    <t>Pesos - UVA</t>
  </si>
  <si>
    <t>UVA a Licitar</t>
  </si>
  <si>
    <t>T/C</t>
  </si>
  <si>
    <t>Monto a Invertir</t>
  </si>
  <si>
    <t>Clase XIV USD Linked (Reapertura)</t>
  </si>
  <si>
    <t>Clase XIX - $ 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</si>
</sst>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-;\-* #,##0.00_-;_-* &quot;-&quot;??_-;_-@_-"/>
    <numFmt numFmtId="165" formatCode="_ * #,##0.00_ ;_ * \-#,##0.00_ ;_ * &quot;-&quot;??_ ;_ @_ "/>
    <numFmt numFmtId="166" formatCode="_-* #,##0.00\ _€_-;\-* #,##0.00\ _€_-;_-* &quot;-&quot;??\ _€_-;_-@_-"/>
    <numFmt numFmtId="167" formatCode="_-* #,##0\ _€_-;\-* #,##0\ _€_-;_-* &quot;-&quot;??\ _€_-;_-@_-"/>
    <numFmt numFmtId="168" formatCode="#,##0.00_ ;\-#,##0.00\ "/>
    <numFmt numFmtId="169" formatCode="[$-F800]dddd\,\ mmmm\ dd\,\ yyyy"/>
    <numFmt numFmtId="170" formatCode="#,##0_ ;\-#,##0\ "/>
    <numFmt numFmtId="171" formatCode="0.0000"/>
    <numFmt numFmtId="172" formatCode="0.0%"/>
    <numFmt numFmtId="173" formatCode="_ * #,##0.0000_ ;_ * \-#,##0.0000_ ;_ * &quot;-&quot;??_ ;_ @_ "/>
    <numFmt numFmtId="174" formatCode="#,##0.0000_ ;\-#,##0.0000\ "/>
    <numFmt numFmtId="175" formatCode="0.000%"/>
    <numFmt numFmtId="176" formatCode="dd\-mm\-yy;@"/>
    <numFmt numFmtId="177" formatCode="0.0000%"/>
    <numFmt numFmtId="178" formatCode="#,##0.00000"/>
    <numFmt numFmtId="179" formatCode="_-* #,##0.0000\ _€_-;\-* #,##0.0000\ _€_-;_-* &quot;-&quot;??\ _€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0066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8C227"/>
        <bgColor indexed="64"/>
      </patternFill>
    </fill>
    <fill>
      <patternFill patternType="solid">
        <fgColor rgb="FFE1EDA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1CD1E"/>
        <bgColor rgb="FFB1CD1E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6600"/>
      </right>
      <top/>
      <bottom/>
      <diagonal/>
    </border>
    <border>
      <left style="medium">
        <color rgb="FF006600"/>
      </left>
      <right/>
      <top/>
      <bottom/>
      <diagonal/>
    </border>
    <border>
      <left/>
      <right/>
      <top/>
      <bottom style="medium">
        <color rgb="FF006600"/>
      </bottom>
      <diagonal/>
    </border>
    <border>
      <left/>
      <right/>
      <top style="medium">
        <color rgb="FF006600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66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10" fontId="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4" fontId="7" fillId="0" borderId="0" xfId="0" applyNumberFormat="1" applyFont="1" applyBorder="1" applyAlignment="1" applyProtection="1">
      <alignment horizontal="center" vertical="center"/>
      <protection hidden="1"/>
    </xf>
    <xf numFmtId="167" fontId="5" fillId="0" borderId="0" xfId="1" applyNumberFormat="1" applyFont="1" applyBorder="1" applyAlignment="1" applyProtection="1">
      <alignment horizontal="center" vertical="center"/>
      <protection hidden="1"/>
    </xf>
    <xf numFmtId="170" fontId="5" fillId="0" borderId="0" xfId="1" applyNumberFormat="1" applyFont="1" applyBorder="1" applyAlignment="1" applyProtection="1">
      <alignment horizontal="center" vertical="center"/>
      <protection hidden="1"/>
    </xf>
    <xf numFmtId="168" fontId="5" fillId="0" borderId="0" xfId="2" applyNumberFormat="1" applyFont="1" applyBorder="1" applyAlignment="1" applyProtection="1">
      <alignment horizontal="center" vertical="center"/>
      <protection hidden="1"/>
    </xf>
    <xf numFmtId="9" fontId="5" fillId="0" borderId="0" xfId="2" applyFont="1" applyBorder="1" applyAlignment="1" applyProtection="1">
      <alignment horizontal="center" vertical="center"/>
      <protection hidden="1"/>
    </xf>
    <xf numFmtId="10" fontId="5" fillId="0" borderId="0" xfId="2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70" fontId="5" fillId="0" borderId="1" xfId="1" applyNumberFormat="1" applyFont="1" applyBorder="1" applyAlignment="1" applyProtection="1">
      <alignment horizontal="center" vertical="center"/>
      <protection hidden="1"/>
    </xf>
    <xf numFmtId="169" fontId="5" fillId="0" borderId="0" xfId="0" applyNumberFormat="1" applyFont="1" applyBorder="1" applyAlignment="1" applyProtection="1">
      <alignment horizontal="center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10" fontId="8" fillId="0" borderId="0" xfId="0" applyNumberFormat="1" applyFont="1" applyFill="1" applyBorder="1" applyAlignment="1" applyProtection="1">
      <alignment horizontal="center" vertical="center"/>
      <protection hidden="1"/>
    </xf>
    <xf numFmtId="169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0" fontId="3" fillId="0" borderId="0" xfId="2" applyNumberFormat="1" applyFont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165" fontId="5" fillId="0" borderId="0" xfId="1" applyNumberFormat="1" applyFont="1" applyBorder="1" applyAlignment="1" applyProtection="1">
      <alignment horizontal="center" vertical="center"/>
      <protection hidden="1"/>
    </xf>
    <xf numFmtId="166" fontId="2" fillId="0" borderId="9" xfId="1" applyFont="1" applyFill="1" applyBorder="1" applyAlignment="1" applyProtection="1">
      <alignment horizontal="center" vertical="center"/>
      <protection hidden="1"/>
    </xf>
    <xf numFmtId="166" fontId="2" fillId="0" borderId="10" xfId="1" applyFont="1" applyFill="1" applyBorder="1" applyAlignment="1" applyProtection="1">
      <alignment horizontal="center" vertical="center"/>
      <protection hidden="1"/>
    </xf>
    <xf numFmtId="167" fontId="5" fillId="0" borderId="9" xfId="0" applyNumberFormat="1" applyFont="1" applyFill="1" applyBorder="1" applyAlignment="1" applyProtection="1">
      <alignment horizontal="center" vertical="center"/>
      <protection hidden="1"/>
    </xf>
    <xf numFmtId="171" fontId="7" fillId="0" borderId="10" xfId="2" applyNumberFormat="1" applyFont="1" applyFill="1" applyBorder="1" applyAlignment="1" applyProtection="1">
      <alignment horizontal="center" vertical="center"/>
      <protection hidden="1"/>
    </xf>
    <xf numFmtId="169" fontId="5" fillId="0" borderId="1" xfId="0" applyNumberFormat="1" applyFont="1" applyBorder="1" applyAlignment="1" applyProtection="1">
      <alignment horizontal="center" vertical="center"/>
      <protection hidden="1"/>
    </xf>
    <xf numFmtId="165" fontId="5" fillId="0" borderId="1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4" fontId="2" fillId="0" borderId="0" xfId="0" applyNumberFormat="1" applyFont="1" applyAlignment="1" applyProtection="1">
      <alignment horizontal="center" vertical="center"/>
      <protection hidden="1"/>
    </xf>
    <xf numFmtId="167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2" applyFont="1" applyBorder="1" applyAlignment="1" applyProtection="1">
      <alignment horizontal="center" vertical="center"/>
      <protection hidden="1"/>
    </xf>
    <xf numFmtId="9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0" fontId="5" fillId="0" borderId="0" xfId="0" applyNumberFormat="1" applyFont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vertical="center" wrapText="1"/>
      <protection hidden="1"/>
    </xf>
    <xf numFmtId="169" fontId="4" fillId="0" borderId="0" xfId="0" applyNumberFormat="1" applyFont="1" applyBorder="1" applyAlignment="1" applyProtection="1">
      <alignment horizontal="center" vertical="center"/>
      <protection hidden="1"/>
    </xf>
    <xf numFmtId="166" fontId="4" fillId="0" borderId="0" xfId="1" applyFont="1" applyBorder="1" applyAlignment="1" applyProtection="1">
      <alignment horizontal="center" vertical="center"/>
      <protection hidden="1"/>
    </xf>
    <xf numFmtId="167" fontId="4" fillId="0" borderId="0" xfId="0" applyNumberFormat="1" applyFont="1" applyBorder="1" applyAlignment="1" applyProtection="1">
      <alignment horizontal="center" vertical="center"/>
      <protection hidden="1"/>
    </xf>
    <xf numFmtId="9" fontId="4" fillId="0" borderId="0" xfId="2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8" fontId="5" fillId="0" borderId="1" xfId="2" applyNumberFormat="1" applyFont="1" applyBorder="1" applyAlignment="1" applyProtection="1">
      <alignment horizontal="center" vertical="center"/>
      <protection hidden="1"/>
    </xf>
    <xf numFmtId="10" fontId="5" fillId="0" borderId="1" xfId="2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0" fontId="2" fillId="0" borderId="0" xfId="2" applyNumberFormat="1" applyFont="1" applyFill="1" applyBorder="1" applyAlignment="1" applyProtection="1">
      <alignment horizontal="center" vertical="center"/>
      <protection hidden="1"/>
    </xf>
    <xf numFmtId="175" fontId="2" fillId="0" borderId="0" xfId="2" applyNumberFormat="1" applyFont="1" applyFill="1" applyBorder="1" applyAlignment="1" applyProtection="1">
      <alignment horizontal="center" vertical="center"/>
      <protection hidden="1"/>
    </xf>
    <xf numFmtId="10" fontId="2" fillId="0" borderId="0" xfId="2" applyNumberFormat="1" applyFont="1" applyAlignment="1" applyProtection="1">
      <alignment horizontal="center" vertical="center"/>
      <protection hidden="1"/>
    </xf>
    <xf numFmtId="10" fontId="2" fillId="0" borderId="0" xfId="2" applyNumberFormat="1" applyFont="1" applyBorder="1" applyAlignment="1" applyProtection="1">
      <alignment horizontal="center" vertical="center"/>
      <protection hidden="1"/>
    </xf>
    <xf numFmtId="0" fontId="4" fillId="4" borderId="21" xfId="0" applyFont="1" applyFill="1" applyBorder="1" applyAlignment="1" applyProtection="1">
      <alignment horizontal="right" vertical="center"/>
      <protection hidden="1"/>
    </xf>
    <xf numFmtId="0" fontId="4" fillId="4" borderId="23" xfId="0" applyFont="1" applyFill="1" applyBorder="1" applyAlignment="1" applyProtection="1">
      <alignment horizontal="right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4" borderId="25" xfId="0" applyFont="1" applyFill="1" applyBorder="1" applyAlignment="1" applyProtection="1">
      <alignment horizontal="right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right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10" fontId="4" fillId="3" borderId="24" xfId="0" applyNumberFormat="1" applyFont="1" applyFill="1" applyBorder="1" applyAlignment="1" applyProtection="1">
      <alignment horizontal="center" vertical="center"/>
      <protection hidden="1"/>
    </xf>
    <xf numFmtId="168" fontId="4" fillId="0" borderId="24" xfId="1" applyNumberFormat="1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right" vertical="center"/>
      <protection hidden="1"/>
    </xf>
    <xf numFmtId="168" fontId="4" fillId="0" borderId="26" xfId="1" applyNumberFormat="1" applyFont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 applyProtection="1">
      <alignment horizontal="right" vertical="center"/>
      <protection hidden="1"/>
    </xf>
    <xf numFmtId="0" fontId="4" fillId="3" borderId="27" xfId="0" applyFont="1" applyFill="1" applyBorder="1" applyAlignment="1" applyProtection="1">
      <alignment horizontal="right" vertical="center"/>
      <protection hidden="1"/>
    </xf>
    <xf numFmtId="10" fontId="4" fillId="3" borderId="28" xfId="0" applyNumberFormat="1" applyFont="1" applyFill="1" applyBorder="1" applyAlignment="1" applyProtection="1">
      <alignment horizontal="center" vertical="center"/>
      <protection hidden="1"/>
    </xf>
    <xf numFmtId="14" fontId="6" fillId="4" borderId="22" xfId="0" applyNumberFormat="1" applyFont="1" applyFill="1" applyBorder="1" applyAlignment="1" applyProtection="1">
      <alignment horizontal="center" vertical="center"/>
      <protection hidden="1"/>
    </xf>
    <xf numFmtId="14" fontId="6" fillId="4" borderId="24" xfId="0" applyNumberFormat="1" applyFont="1" applyFill="1" applyBorder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170" fontId="13" fillId="0" borderId="22" xfId="1" applyNumberFormat="1" applyFont="1" applyBorder="1" applyAlignment="1" applyProtection="1">
      <alignment horizontal="center" vertical="center"/>
      <protection locked="0" hidden="1"/>
    </xf>
    <xf numFmtId="166" fontId="5" fillId="0" borderId="0" xfId="1" applyFont="1" applyBorder="1" applyAlignment="1" applyProtection="1">
      <alignment horizontal="center" vertical="center"/>
      <protection hidden="1"/>
    </xf>
    <xf numFmtId="166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right" vertical="center"/>
      <protection hidden="1"/>
    </xf>
    <xf numFmtId="0" fontId="17" fillId="3" borderId="0" xfId="0" applyFont="1" applyFill="1" applyBorder="1"/>
    <xf numFmtId="0" fontId="18" fillId="3" borderId="0" xfId="0" applyFont="1" applyFill="1" applyBorder="1" applyAlignment="1" applyProtection="1">
      <alignment horizontal="center" vertical="center"/>
      <protection hidden="1"/>
    </xf>
    <xf numFmtId="176" fontId="19" fillId="4" borderId="0" xfId="0" applyNumberFormat="1" applyFont="1" applyFill="1" applyBorder="1" applyAlignment="1" applyProtection="1">
      <alignment horizontal="left" vertical="center"/>
      <protection hidden="1"/>
    </xf>
    <xf numFmtId="176" fontId="20" fillId="3" borderId="0" xfId="0" applyNumberFormat="1" applyFont="1" applyFill="1" applyBorder="1" applyAlignment="1" applyProtection="1">
      <alignment horizontal="center" vertical="center"/>
      <protection hidden="1"/>
    </xf>
    <xf numFmtId="176" fontId="17" fillId="3" borderId="0" xfId="0" applyNumberFormat="1" applyFont="1" applyFill="1" applyBorder="1"/>
    <xf numFmtId="0" fontId="19" fillId="4" borderId="0" xfId="0" applyFont="1" applyFill="1" applyBorder="1" applyAlignment="1" applyProtection="1">
      <alignment horizontal="left" vertical="center"/>
      <protection hidden="1"/>
    </xf>
    <xf numFmtId="0" fontId="19" fillId="3" borderId="0" xfId="0" applyFont="1" applyFill="1" applyBorder="1" applyAlignment="1" applyProtection="1">
      <alignment horizontal="left" vertical="center"/>
      <protection hidden="1"/>
    </xf>
    <xf numFmtId="176" fontId="19" fillId="3" borderId="0" xfId="0" applyNumberFormat="1" applyFont="1" applyFill="1" applyBorder="1" applyAlignment="1" applyProtection="1">
      <alignment horizontal="left" vertical="center"/>
      <protection hidden="1"/>
    </xf>
    <xf numFmtId="4" fontId="20" fillId="3" borderId="0" xfId="0" applyNumberFormat="1" applyFont="1" applyFill="1" applyBorder="1" applyAlignment="1" applyProtection="1">
      <alignment horizontal="center" vertical="center"/>
      <protection hidden="1"/>
    </xf>
    <xf numFmtId="10" fontId="21" fillId="3" borderId="0" xfId="0" applyNumberFormat="1" applyFont="1" applyFill="1" applyBorder="1" applyAlignment="1" applyProtection="1">
      <alignment horizontal="center" vertical="center"/>
      <protection hidden="1"/>
    </xf>
    <xf numFmtId="0" fontId="17" fillId="3" borderId="0" xfId="0" applyFont="1" applyFill="1" applyBorder="1" applyAlignment="1">
      <alignment horizontal="left"/>
    </xf>
    <xf numFmtId="0" fontId="18" fillId="7" borderId="0" xfId="0" applyFont="1" applyFill="1" applyBorder="1" applyAlignment="1" applyProtection="1">
      <alignment horizontal="left" vertical="center"/>
      <protection hidden="1"/>
    </xf>
    <xf numFmtId="170" fontId="18" fillId="7" borderId="0" xfId="1" applyNumberFormat="1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right" vertical="center"/>
      <protection hidden="1"/>
    </xf>
    <xf numFmtId="174" fontId="18" fillId="7" borderId="0" xfId="1" applyNumberFormat="1" applyFont="1" applyFill="1" applyBorder="1" applyAlignment="1" applyProtection="1">
      <alignment horizontal="center" vertical="center"/>
      <protection locked="0"/>
    </xf>
    <xf numFmtId="10" fontId="18" fillId="7" borderId="0" xfId="2" applyNumberFormat="1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Border="1" applyAlignment="1" applyProtection="1">
      <alignment horizontal="left" vertical="center"/>
      <protection hidden="1"/>
    </xf>
    <xf numFmtId="1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8" borderId="0" xfId="0" applyFont="1" applyFill="1" applyBorder="1" applyAlignment="1" applyProtection="1">
      <alignment horizontal="right" vertical="center"/>
      <protection hidden="1"/>
    </xf>
    <xf numFmtId="0" fontId="22" fillId="3" borderId="0" xfId="0" applyFont="1" applyFill="1" applyBorder="1" applyAlignment="1" applyProtection="1">
      <alignment horizontal="left" vertical="center"/>
      <protection hidden="1"/>
    </xf>
    <xf numFmtId="10" fontId="22" fillId="3" borderId="0" xfId="0" applyNumberFormat="1" applyFont="1" applyFill="1" applyBorder="1" applyAlignment="1" applyProtection="1">
      <alignment horizontal="center" vertical="center"/>
      <protection hidden="1"/>
    </xf>
    <xf numFmtId="0" fontId="22" fillId="3" borderId="0" xfId="0" applyFont="1" applyFill="1" applyBorder="1" applyAlignment="1" applyProtection="1">
      <alignment horizontal="right" vertical="center"/>
      <protection hidden="1"/>
    </xf>
    <xf numFmtId="174" fontId="22" fillId="8" borderId="0" xfId="2" applyNumberFormat="1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Border="1" applyAlignment="1" applyProtection="1">
      <alignment horizontal="right" vertical="center"/>
      <protection hidden="1"/>
    </xf>
    <xf numFmtId="178" fontId="20" fillId="3" borderId="0" xfId="0" applyNumberFormat="1" applyFont="1" applyFill="1" applyBorder="1" applyAlignment="1" applyProtection="1">
      <alignment horizontal="center" vertical="center"/>
      <protection hidden="1"/>
    </xf>
    <xf numFmtId="4" fontId="22" fillId="8" borderId="0" xfId="0" applyNumberFormat="1" applyFont="1" applyFill="1" applyBorder="1" applyAlignment="1" applyProtection="1">
      <alignment horizontal="center" vertical="center"/>
      <protection hidden="1"/>
    </xf>
    <xf numFmtId="14" fontId="6" fillId="4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170" fontId="13" fillId="0" borderId="0" xfId="1" applyNumberFormat="1" applyFont="1" applyBorder="1" applyAlignment="1" applyProtection="1">
      <alignment horizontal="center" vertical="center"/>
      <protection locked="0" hidden="1"/>
    </xf>
    <xf numFmtId="168" fontId="4" fillId="0" borderId="0" xfId="1" applyNumberFormat="1" applyFont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right" vertical="center"/>
      <protection hidden="1"/>
    </xf>
    <xf numFmtId="174" fontId="13" fillId="6" borderId="0" xfId="1" applyNumberFormat="1" applyFont="1" applyFill="1" applyBorder="1" applyAlignment="1" applyProtection="1">
      <alignment horizontal="center" vertical="center"/>
      <protection locked="0"/>
    </xf>
    <xf numFmtId="10" fontId="3" fillId="0" borderId="0" xfId="2" applyNumberFormat="1" applyFont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13" fillId="5" borderId="0" xfId="0" applyFont="1" applyFill="1" applyBorder="1" applyAlignment="1" applyProtection="1">
      <alignment horizontal="right" vertical="center"/>
      <protection hidden="1"/>
    </xf>
    <xf numFmtId="10" fontId="13" fillId="5" borderId="0" xfId="2" applyNumberFormat="1" applyFont="1" applyFill="1" applyBorder="1" applyAlignment="1" applyProtection="1">
      <alignment horizontal="center" vertical="center"/>
      <protection locked="0"/>
    </xf>
    <xf numFmtId="174" fontId="4" fillId="3" borderId="0" xfId="2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6" fontId="2" fillId="0" borderId="0" xfId="1" applyFont="1" applyFill="1" applyBorder="1" applyAlignment="1" applyProtection="1">
      <alignment horizontal="center" vertical="center"/>
      <protection hidden="1"/>
    </xf>
    <xf numFmtId="173" fontId="2" fillId="0" borderId="0" xfId="0" applyNumberFormat="1" applyFont="1" applyBorder="1" applyAlignment="1" applyProtection="1">
      <alignment horizontal="center" vertical="center"/>
      <protection hidden="1"/>
    </xf>
    <xf numFmtId="167" fontId="5" fillId="0" borderId="0" xfId="0" applyNumberFormat="1" applyFont="1" applyFill="1" applyBorder="1" applyAlignment="1" applyProtection="1">
      <alignment horizontal="center" vertical="center"/>
      <protection hidden="1"/>
    </xf>
    <xf numFmtId="171" fontId="7" fillId="0" borderId="0" xfId="2" applyNumberFormat="1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Border="1" applyAlignment="1" applyProtection="1">
      <alignment horizontal="center" vertical="center"/>
      <protection hidden="1"/>
    </xf>
    <xf numFmtId="172" fontId="7" fillId="0" borderId="0" xfId="2" applyNumberFormat="1" applyFont="1" applyBorder="1" applyAlignment="1" applyProtection="1">
      <alignment horizontal="center" vertical="center"/>
      <protection hidden="1"/>
    </xf>
    <xf numFmtId="166" fontId="15" fillId="10" borderId="0" xfId="1" applyFont="1" applyFill="1"/>
    <xf numFmtId="4" fontId="24" fillId="3" borderId="0" xfId="0" applyNumberFormat="1" applyFont="1" applyFill="1" applyBorder="1" applyAlignment="1" applyProtection="1">
      <alignment horizontal="center" vertical="center"/>
      <protection hidden="1"/>
    </xf>
    <xf numFmtId="174" fontId="21" fillId="3" borderId="0" xfId="1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Border="1" applyAlignment="1" applyProtection="1">
      <alignment horizontal="center" vertical="center"/>
      <protection hidden="1"/>
    </xf>
    <xf numFmtId="166" fontId="14" fillId="0" borderId="0" xfId="1" applyFont="1" applyBorder="1" applyAlignment="1" applyProtection="1">
      <alignment horizontal="center" vertical="center"/>
      <protection hidden="1"/>
    </xf>
    <xf numFmtId="168" fontId="18" fillId="7" borderId="0" xfId="1" applyNumberFormat="1" applyFont="1" applyFill="1" applyBorder="1" applyAlignment="1" applyProtection="1">
      <alignment horizontal="center" vertical="center"/>
      <protection locked="0" hidden="1"/>
    </xf>
    <xf numFmtId="0" fontId="26" fillId="3" borderId="0" xfId="0" applyFont="1" applyFill="1" applyBorder="1"/>
    <xf numFmtId="0" fontId="2" fillId="3" borderId="0" xfId="0" applyFont="1" applyFill="1" applyBorder="1"/>
    <xf numFmtId="10" fontId="18" fillId="7" borderId="0" xfId="2" applyNumberFormat="1" applyFont="1" applyFill="1" applyBorder="1" applyAlignment="1" applyProtection="1">
      <alignment horizontal="center" vertical="center"/>
    </xf>
    <xf numFmtId="0" fontId="0" fillId="3" borderId="0" xfId="0" applyFill="1"/>
    <xf numFmtId="176" fontId="14" fillId="11" borderId="0" xfId="0" applyNumberFormat="1" applyFont="1" applyFill="1" applyAlignment="1">
      <alignment horizontal="left"/>
    </xf>
    <xf numFmtId="15" fontId="27" fillId="0" borderId="0" xfId="0" applyNumberFormat="1" applyFont="1"/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176" fontId="2" fillId="3" borderId="0" xfId="0" applyNumberFormat="1" applyFont="1" applyFill="1" applyAlignment="1">
      <alignment horizontal="left"/>
    </xf>
    <xf numFmtId="177" fontId="28" fillId="12" borderId="0" xfId="0" applyNumberFormat="1" applyFont="1" applyFill="1"/>
    <xf numFmtId="14" fontId="0" fillId="0" borderId="0" xfId="1" applyNumberFormat="1" applyFont="1"/>
    <xf numFmtId="2" fontId="27" fillId="0" borderId="0" xfId="0" applyNumberFormat="1" applyFont="1"/>
    <xf numFmtId="166" fontId="0" fillId="0" borderId="0" xfId="1" applyFont="1"/>
    <xf numFmtId="14" fontId="0" fillId="0" borderId="0" xfId="0" applyNumberFormat="1"/>
    <xf numFmtId="171" fontId="15" fillId="3" borderId="33" xfId="0" applyNumberFormat="1" applyFont="1" applyFill="1" applyBorder="1" applyAlignment="1">
      <alignment horizontal="right"/>
    </xf>
    <xf numFmtId="176" fontId="29" fillId="3" borderId="0" xfId="0" applyNumberFormat="1" applyFont="1" applyFill="1" applyAlignment="1">
      <alignment horizontal="left"/>
    </xf>
    <xf numFmtId="0" fontId="0" fillId="3" borderId="33" xfId="0" applyFill="1" applyBorder="1"/>
    <xf numFmtId="0" fontId="0" fillId="3" borderId="34" xfId="0" applyFill="1" applyBorder="1"/>
    <xf numFmtId="175" fontId="21" fillId="3" borderId="0" xfId="0" applyNumberFormat="1" applyFont="1" applyFill="1" applyBorder="1" applyAlignment="1" applyProtection="1">
      <alignment horizontal="center" vertical="center"/>
      <protection hidden="1"/>
    </xf>
    <xf numFmtId="14" fontId="0" fillId="3" borderId="0" xfId="0" applyNumberFormat="1" applyFill="1"/>
    <xf numFmtId="0" fontId="3" fillId="0" borderId="0" xfId="0" applyFont="1" applyFill="1" applyBorder="1" applyAlignment="1" applyProtection="1">
      <alignment horizontal="center" vertical="center"/>
      <protection hidden="1"/>
    </xf>
    <xf numFmtId="2" fontId="28" fillId="12" borderId="0" xfId="2" applyNumberFormat="1" applyFont="1" applyFill="1"/>
    <xf numFmtId="2" fontId="0" fillId="0" borderId="0" xfId="2" applyNumberFormat="1" applyFont="1"/>
    <xf numFmtId="166" fontId="5" fillId="0" borderId="0" xfId="0" applyNumberFormat="1" applyFont="1" applyBorder="1" applyAlignment="1" applyProtection="1">
      <alignment horizontal="center" vertical="center"/>
      <protection hidden="1"/>
    </xf>
    <xf numFmtId="2" fontId="13" fillId="0" borderId="24" xfId="2" applyNumberFormat="1" applyFont="1" applyBorder="1" applyAlignment="1" applyProtection="1">
      <alignment horizontal="center" vertical="center"/>
      <protection locked="0" hidden="1"/>
    </xf>
    <xf numFmtId="10" fontId="13" fillId="4" borderId="24" xfId="0" applyNumberFormat="1" applyFont="1" applyFill="1" applyBorder="1" applyAlignment="1" applyProtection="1">
      <alignment horizontal="center" vertical="center"/>
      <protection hidden="1"/>
    </xf>
    <xf numFmtId="2" fontId="7" fillId="0" borderId="0" xfId="2" applyNumberFormat="1" applyFont="1" applyAlignment="1" applyProtection="1">
      <alignment horizontal="center" vertical="center"/>
      <protection hidden="1"/>
    </xf>
    <xf numFmtId="167" fontId="22" fillId="8" borderId="0" xfId="1" applyNumberFormat="1" applyFont="1" applyFill="1" applyBorder="1" applyAlignment="1" applyProtection="1">
      <alignment horizontal="center" vertical="center"/>
      <protection hidden="1"/>
    </xf>
    <xf numFmtId="167" fontId="18" fillId="7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66" fontId="17" fillId="3" borderId="0" xfId="1" applyFont="1" applyFill="1" applyBorder="1"/>
    <xf numFmtId="179" fontId="17" fillId="3" borderId="0" xfId="1" applyNumberFormat="1" applyFont="1" applyFill="1" applyBorder="1"/>
    <xf numFmtId="164" fontId="17" fillId="3" borderId="0" xfId="0" applyNumberFormat="1" applyFont="1" applyFill="1" applyBorder="1"/>
    <xf numFmtId="179" fontId="0" fillId="0" borderId="0" xfId="1" applyNumberFormat="1" applyFont="1"/>
    <xf numFmtId="2" fontId="5" fillId="0" borderId="0" xfId="2" applyNumberFormat="1" applyFont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vertical="center"/>
      <protection hidden="1"/>
    </xf>
    <xf numFmtId="0" fontId="25" fillId="9" borderId="19" xfId="0" applyFont="1" applyFill="1" applyBorder="1" applyAlignment="1" applyProtection="1">
      <alignment horizontal="center" vertical="center"/>
      <protection hidden="1"/>
    </xf>
    <xf numFmtId="0" fontId="25" fillId="9" borderId="20" xfId="0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Border="1" applyAlignment="1">
      <alignment horizontal="center" wrapText="1"/>
    </xf>
    <xf numFmtId="0" fontId="16" fillId="9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16" fillId="9" borderId="1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2" fillId="2" borderId="19" xfId="0" applyFont="1" applyFill="1" applyBorder="1" applyAlignment="1" applyProtection="1">
      <alignment horizontal="center" vertical="center"/>
      <protection hidden="1"/>
    </xf>
    <xf numFmtId="0" fontId="12" fillId="2" borderId="29" xfId="0" applyFont="1" applyFill="1" applyBorder="1" applyAlignment="1" applyProtection="1">
      <alignment horizontal="center" vertical="center"/>
      <protection hidden="1"/>
    </xf>
    <xf numFmtId="0" fontId="12" fillId="2" borderId="20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E1EDA5"/>
      <color rgb="FFA8C227"/>
      <color rgb="FF003399"/>
      <color rgb="FFFF6600"/>
      <color rgb="FF006600"/>
      <color rgb="FF025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27663</xdr:rowOff>
    </xdr:from>
    <xdr:to>
      <xdr:col>1</xdr:col>
      <xdr:colOff>2290433</xdr:colOff>
      <xdr:row>14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4" y="103863"/>
          <a:ext cx="2147559" cy="175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213360</xdr:colOff>
      <xdr:row>0</xdr:row>
      <xdr:rowOff>47625</xdr:rowOff>
    </xdr:from>
    <xdr:to>
      <xdr:col>18</xdr:col>
      <xdr:colOff>238342</xdr:colOff>
      <xdr:row>24</xdr:row>
      <xdr:rowOff>189556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7585" y="47625"/>
          <a:ext cx="2310982" cy="1875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114300</xdr:colOff>
      <xdr:row>1</xdr:row>
      <xdr:rowOff>129540</xdr:rowOff>
    </xdr:from>
    <xdr:to>
      <xdr:col>24</xdr:col>
      <xdr:colOff>0</xdr:colOff>
      <xdr:row>23</xdr:row>
      <xdr:rowOff>111320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4050" y="377190"/>
          <a:ext cx="2171700" cy="184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7"/>
  <sheetViews>
    <sheetView tabSelected="1" zoomScale="110" zoomScaleNormal="110" workbookViewId="0">
      <selection activeCell="D21" sqref="D21"/>
    </sheetView>
  </sheetViews>
  <sheetFormatPr baseColWidth="10" defaultColWidth="11.5" defaultRowHeight="12"/>
  <cols>
    <col min="1" max="1" width="2.5" style="92" customWidth="1"/>
    <col min="2" max="2" width="36.5" style="92" customWidth="1"/>
    <col min="3" max="3" width="18.33203125" style="92" customWidth="1"/>
    <col min="4" max="4" width="16.5" style="92" customWidth="1"/>
    <col min="5" max="5" width="3.6640625" style="92" customWidth="1"/>
    <col min="6" max="6" width="21.5" style="92" hidden="1" customWidth="1"/>
    <col min="7" max="7" width="18.33203125" style="92" hidden="1" customWidth="1"/>
    <col min="8" max="8" width="3.6640625" style="92" customWidth="1"/>
    <col min="9" max="9" width="21.5" style="92" customWidth="1"/>
    <col min="10" max="10" width="18.33203125" style="92" customWidth="1"/>
    <col min="11" max="16384" width="11.5" style="92"/>
  </cols>
  <sheetData>
    <row r="1" spans="3:14" ht="6" customHeight="1" thickBot="1"/>
    <row r="2" spans="3:14" ht="14">
      <c r="C2" s="180" t="s">
        <v>52</v>
      </c>
      <c r="D2" s="181"/>
      <c r="E2" s="145"/>
      <c r="F2" s="180" t="s">
        <v>53</v>
      </c>
      <c r="G2" s="181"/>
      <c r="H2" s="145"/>
      <c r="I2" s="180" t="s">
        <v>53</v>
      </c>
      <c r="J2" s="181"/>
    </row>
    <row r="3" spans="3:14" ht="6.75" customHeight="1">
      <c r="C3" s="93"/>
      <c r="D3" s="93"/>
      <c r="F3" s="93"/>
      <c r="G3" s="93"/>
      <c r="I3" s="93"/>
      <c r="J3" s="93"/>
    </row>
    <row r="4" spans="3:14">
      <c r="C4" s="94" t="s">
        <v>36</v>
      </c>
      <c r="D4" s="95">
        <v>44169</v>
      </c>
      <c r="E4" s="96"/>
      <c r="F4" s="94" t="s">
        <v>36</v>
      </c>
      <c r="G4" s="95">
        <v>44180</v>
      </c>
      <c r="H4" s="96"/>
      <c r="I4" s="94" t="s">
        <v>36</v>
      </c>
      <c r="J4" s="95">
        <v>44253</v>
      </c>
    </row>
    <row r="5" spans="3:14">
      <c r="C5" s="94" t="s">
        <v>37</v>
      </c>
      <c r="D5" s="95">
        <v>44253</v>
      </c>
      <c r="E5" s="96"/>
      <c r="F5" s="94" t="s">
        <v>37</v>
      </c>
      <c r="G5" s="95">
        <v>44239</v>
      </c>
      <c r="H5" s="96"/>
      <c r="I5" s="94" t="s">
        <v>41</v>
      </c>
      <c r="J5" s="95">
        <v>44253</v>
      </c>
    </row>
    <row r="6" spans="3:14">
      <c r="C6" s="97" t="s">
        <v>38</v>
      </c>
      <c r="D6" s="95">
        <v>45264</v>
      </c>
      <c r="E6" s="96"/>
      <c r="F6" s="94" t="s">
        <v>38</v>
      </c>
      <c r="G6" s="95">
        <v>44544</v>
      </c>
      <c r="H6" s="96"/>
      <c r="I6" s="94" t="s">
        <v>38</v>
      </c>
      <c r="J6" s="95">
        <f>+EDATE(J4,42)</f>
        <v>45530</v>
      </c>
    </row>
    <row r="7" spans="3:14" ht="5.25" customHeight="1">
      <c r="C7" s="98"/>
      <c r="D7" s="95"/>
      <c r="E7" s="96"/>
      <c r="F7" s="99"/>
      <c r="G7" s="95"/>
      <c r="H7" s="96"/>
      <c r="I7" s="99"/>
      <c r="J7" s="95"/>
    </row>
    <row r="8" spans="3:14">
      <c r="C8" s="97" t="s">
        <v>15</v>
      </c>
      <c r="D8" s="101">
        <v>0.02</v>
      </c>
      <c r="F8" s="97" t="s">
        <v>50</v>
      </c>
      <c r="G8" s="162" t="e">
        <f>+#REF!-#REF!</f>
        <v>#REF!</v>
      </c>
      <c r="I8" s="97" t="s">
        <v>15</v>
      </c>
      <c r="J8" s="101" t="s">
        <v>42</v>
      </c>
    </row>
    <row r="9" spans="3:14">
      <c r="C9" s="97" t="s">
        <v>43</v>
      </c>
      <c r="D9" s="140">
        <f>+TRUNC(UVA!I9,4)</f>
        <v>89.213300000000004</v>
      </c>
      <c r="F9" s="97" t="s">
        <v>51</v>
      </c>
      <c r="G9" s="162">
        <f>+UVA!H4</f>
        <v>68.712000000000003</v>
      </c>
      <c r="I9" s="97" t="s">
        <v>58</v>
      </c>
      <c r="J9" s="140">
        <f>VLOOKUP(WORKDAY(J4,-5,UVA!E2:E83),UVA!B:C,2,FALSE)</f>
        <v>68.27</v>
      </c>
    </row>
    <row r="10" spans="3:14">
      <c r="C10" s="97"/>
      <c r="D10" s="140"/>
      <c r="F10" s="97" t="str">
        <f>C8</f>
        <v>Cupón (TNA)</v>
      </c>
      <c r="G10" s="101" t="s">
        <v>44</v>
      </c>
      <c r="I10" s="97"/>
    </row>
    <row r="11" spans="3:14" ht="9" hidden="1" customHeight="1">
      <c r="C11" s="97"/>
      <c r="I11" s="97"/>
      <c r="J11" s="140"/>
    </row>
    <row r="12" spans="3:14">
      <c r="C12" s="98"/>
      <c r="D12" s="101"/>
      <c r="F12" s="98"/>
      <c r="G12" s="101"/>
      <c r="I12" s="98"/>
      <c r="J12" s="101"/>
    </row>
    <row r="13" spans="3:14">
      <c r="C13" s="97" t="s">
        <v>39</v>
      </c>
      <c r="D13" s="100">
        <f>+'Clase XIV USD Linked (Reap.)'!E11</f>
        <v>2.7698630136986302</v>
      </c>
      <c r="F13" s="97" t="s">
        <v>39</v>
      </c>
      <c r="G13" s="100" t="e">
        <f>+#REF!</f>
        <v>#REF!</v>
      </c>
      <c r="I13" s="97" t="s">
        <v>39</v>
      </c>
      <c r="J13" s="100">
        <f>+'Clase XIX UVA'!F11</f>
        <v>3.4986301369863013</v>
      </c>
    </row>
    <row r="14" spans="3:14" ht="12.75" customHeight="1">
      <c r="C14" s="97" t="s">
        <v>40</v>
      </c>
      <c r="D14" s="139">
        <f>+'Clase XIV USD Linked (Reap.)'!E12</f>
        <v>2.6883749565843336</v>
      </c>
      <c r="F14" s="97" t="s">
        <v>40</v>
      </c>
      <c r="G14" s="100" t="e">
        <f>+#REF!</f>
        <v>#REF!</v>
      </c>
      <c r="I14" s="97" t="s">
        <v>40</v>
      </c>
      <c r="J14" s="100">
        <f>+'Clase XIX UVA'!F12</f>
        <v>3.3343435250802695</v>
      </c>
      <c r="N14" s="175"/>
    </row>
    <row r="15" spans="3:14" ht="9" customHeight="1">
      <c r="C15" s="102"/>
    </row>
    <row r="16" spans="3:14" hidden="1">
      <c r="C16" s="103" t="s">
        <v>18</v>
      </c>
      <c r="D16" s="104">
        <v>1000000</v>
      </c>
      <c r="F16" s="105" t="s">
        <v>18</v>
      </c>
      <c r="G16" s="104">
        <v>1000000</v>
      </c>
      <c r="I16" s="105" t="s">
        <v>18</v>
      </c>
      <c r="J16" s="104">
        <v>1000000</v>
      </c>
    </row>
    <row r="17" spans="3:14">
      <c r="C17" s="103" t="s">
        <v>21</v>
      </c>
      <c r="D17" s="106">
        <v>99.125</v>
      </c>
      <c r="E17" s="144"/>
      <c r="F17" s="105" t="s">
        <v>21</v>
      </c>
      <c r="G17" s="106">
        <v>107</v>
      </c>
      <c r="H17" s="144"/>
      <c r="I17" s="105" t="s">
        <v>23</v>
      </c>
      <c r="J17" s="107">
        <v>0.03</v>
      </c>
    </row>
    <row r="18" spans="3:14">
      <c r="C18" s="108" t="s">
        <v>13</v>
      </c>
      <c r="D18" s="109">
        <f>+'Clase XIV USD Linked (Reap.)'!E14</f>
        <v>2.5239631533622738E-2</v>
      </c>
      <c r="F18" s="110" t="s">
        <v>13</v>
      </c>
      <c r="G18" s="109" t="e">
        <f>+#REF!</f>
        <v>#REF!</v>
      </c>
      <c r="I18" s="110" t="s">
        <v>13</v>
      </c>
      <c r="J18" s="109">
        <f>+'Clase XIX UVA'!F14</f>
        <v>3.0339220166206365E-2</v>
      </c>
      <c r="N18" s="174"/>
    </row>
    <row r="19" spans="3:14">
      <c r="C19" s="108" t="s">
        <v>17</v>
      </c>
      <c r="D19" s="109">
        <f>+'Clase XIV USD Linked (Reap.)'!E15</f>
        <v>2.5003130899392198E-2</v>
      </c>
      <c r="F19" s="110" t="s">
        <v>17</v>
      </c>
      <c r="G19" s="109" t="e">
        <f>((1+G18)^(90/365)-1)*(365/90)</f>
        <v>#REF!</v>
      </c>
      <c r="I19" s="110" t="s">
        <v>17</v>
      </c>
      <c r="J19" s="109">
        <f>((1+J18)^(90/365)-1)*(365/90)</f>
        <v>2.9998491640173465E-2</v>
      </c>
    </row>
    <row r="20" spans="3:14" ht="9" customHeight="1">
      <c r="C20" s="111"/>
      <c r="D20" s="112"/>
      <c r="F20" s="113"/>
      <c r="G20" s="112"/>
      <c r="I20" s="113"/>
      <c r="J20" s="112"/>
    </row>
    <row r="21" spans="3:14">
      <c r="C21" s="103" t="s">
        <v>30</v>
      </c>
      <c r="D21" s="107">
        <v>2.5000000000000001E-2</v>
      </c>
      <c r="E21" s="144"/>
      <c r="F21" s="105" t="s">
        <v>47</v>
      </c>
      <c r="G21" s="107">
        <v>2.6151400164669124E-2</v>
      </c>
      <c r="I21" s="103" t="s">
        <v>68</v>
      </c>
      <c r="J21" s="172">
        <v>1000000</v>
      </c>
      <c r="N21" s="176"/>
    </row>
    <row r="22" spans="3:14">
      <c r="C22" s="108" t="s">
        <v>12</v>
      </c>
      <c r="D22" s="114">
        <f>+'Clase XIV USD Linked (Reap.)'!E17</f>
        <v>99.125829569085724</v>
      </c>
      <c r="F22" s="110" t="s">
        <v>12</v>
      </c>
      <c r="G22" s="114" t="e">
        <f>+#REF!</f>
        <v>#REF!</v>
      </c>
      <c r="I22" s="108" t="s">
        <v>66</v>
      </c>
      <c r="J22" s="171">
        <f>+TRUNC(J21/J9,0)</f>
        <v>14647</v>
      </c>
    </row>
    <row r="23" spans="3:14" ht="9" customHeight="1">
      <c r="C23" s="102"/>
    </row>
    <row r="24" spans="3:14" ht="9" customHeight="1">
      <c r="C24" s="102"/>
    </row>
    <row r="25" spans="3:14" ht="14" hidden="1">
      <c r="F25" s="180" t="s">
        <v>45</v>
      </c>
      <c r="G25" s="181"/>
    </row>
    <row r="26" spans="3:14" hidden="1">
      <c r="F26" s="115" t="s">
        <v>35</v>
      </c>
      <c r="G26" s="116">
        <v>1.0835900000000001</v>
      </c>
    </row>
    <row r="27" spans="3:14" ht="8.25" hidden="1" customHeight="1"/>
    <row r="28" spans="3:14" hidden="1">
      <c r="F28" s="105" t="s">
        <v>33</v>
      </c>
      <c r="G28" s="143">
        <v>1000000</v>
      </c>
    </row>
    <row r="29" spans="3:14" hidden="1">
      <c r="F29" s="110" t="s">
        <v>34</v>
      </c>
      <c r="G29" s="117">
        <f>+ROUNDDOWN(G28*G26/G30*100,0)</f>
        <v>1012700</v>
      </c>
    </row>
    <row r="30" spans="3:14" hidden="1">
      <c r="F30" s="105" t="s">
        <v>21</v>
      </c>
      <c r="G30" s="106">
        <v>107</v>
      </c>
    </row>
    <row r="31" spans="3:14" ht="9" hidden="1" customHeight="1">
      <c r="F31" s="110" t="s">
        <v>13</v>
      </c>
      <c r="G31" s="109" t="e">
        <f>+#REF!</f>
        <v>#REF!</v>
      </c>
    </row>
    <row r="32" spans="3:14" hidden="1">
      <c r="F32" s="110" t="s">
        <v>17</v>
      </c>
      <c r="G32" s="109" t="e">
        <f>((1+G31)^(90/365)-1)*(365/90)</f>
        <v>#REF!</v>
      </c>
    </row>
    <row r="33" spans="2:10" ht="14" hidden="1" customHeight="1">
      <c r="F33" s="105" t="s">
        <v>46</v>
      </c>
      <c r="G33" s="146" t="e">
        <f>+G32-#REF!+0.04</f>
        <v>#REF!</v>
      </c>
    </row>
    <row r="34" spans="2:10" ht="8" hidden="1" customHeight="1"/>
    <row r="35" spans="2:10" ht="15" hidden="1" customHeight="1">
      <c r="B35" s="182" t="s">
        <v>28</v>
      </c>
      <c r="C35" s="182"/>
      <c r="D35" s="182"/>
      <c r="E35" s="182"/>
      <c r="F35" s="182"/>
      <c r="G35" s="182"/>
      <c r="H35" s="182"/>
      <c r="I35" s="182"/>
      <c r="J35" s="182"/>
    </row>
    <row r="36" spans="2:10">
      <c r="B36" s="182"/>
      <c r="C36" s="182"/>
      <c r="D36" s="182"/>
      <c r="E36" s="182"/>
      <c r="F36" s="182"/>
      <c r="G36" s="182"/>
      <c r="H36" s="182"/>
      <c r="I36" s="182"/>
      <c r="J36" s="182"/>
    </row>
    <row r="37" spans="2:10" ht="42" customHeight="1">
      <c r="B37" s="182"/>
      <c r="C37" s="182"/>
      <c r="D37" s="182"/>
      <c r="E37" s="182"/>
      <c r="F37" s="182"/>
      <c r="G37" s="182"/>
      <c r="H37" s="182"/>
      <c r="I37" s="182"/>
      <c r="J37" s="182"/>
    </row>
  </sheetData>
  <sheetProtection algorithmName="SHA-512" hashValue="AxORV9vBwcZHyBi7Ozk/SkNxU1n+V2Qa2IXlzc2PdpJue+BcjQ+QnDWBcrcZqbdtshrEzxYvzGN2u8/6dRbIyA==" saltValue="yguiTnQlsyuTLKayA2jzkA==" spinCount="100000" sheet="1" selectLockedCells="1"/>
  <mergeCells count="5">
    <mergeCell ref="I2:J2"/>
    <mergeCell ref="F2:G2"/>
    <mergeCell ref="F25:G25"/>
    <mergeCell ref="C2:D2"/>
    <mergeCell ref="B35:J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showGridLines="0" zoomScaleNormal="100" workbookViewId="0">
      <selection activeCell="C11" sqref="C11"/>
    </sheetView>
  </sheetViews>
  <sheetFormatPr baseColWidth="10" defaultColWidth="11.5" defaultRowHeight="19.5" customHeight="1"/>
  <cols>
    <col min="1" max="1" width="14.5" style="86" customWidth="1"/>
    <col min="2" max="2" width="2.6640625" style="5" customWidth="1"/>
    <col min="3" max="3" width="8.5" style="5" customWidth="1"/>
    <col min="4" max="4" width="29.1640625" style="5" customWidth="1"/>
    <col min="5" max="5" width="10.5" style="5" bestFit="1" customWidth="1"/>
    <col min="6" max="6" width="15.5" style="5" customWidth="1"/>
    <col min="7" max="7" width="14.33203125" style="5" customWidth="1"/>
    <col min="8" max="8" width="15" style="5" customWidth="1"/>
    <col min="9" max="9" width="18.5" style="5" bestFit="1" customWidth="1"/>
    <col min="10" max="10" width="15.5" style="5" bestFit="1" customWidth="1"/>
    <col min="11" max="11" width="4.5" style="5" hidden="1" customWidth="1"/>
    <col min="12" max="12" width="11.5" style="5" hidden="1" customWidth="1"/>
    <col min="13" max="13" width="14" style="5" hidden="1" customWidth="1"/>
    <col min="14" max="14" width="14.33203125" style="5" hidden="1" customWidth="1"/>
    <col min="15" max="15" width="9.83203125" style="5" hidden="1" customWidth="1"/>
    <col min="16" max="16384" width="11.5" style="5"/>
  </cols>
  <sheetData>
    <row r="1" spans="1:14" ht="19.5" customHeight="1">
      <c r="B1" s="179"/>
      <c r="C1" s="183" t="s">
        <v>69</v>
      </c>
      <c r="D1" s="183"/>
      <c r="E1" s="183"/>
      <c r="F1" s="183"/>
      <c r="G1" s="183"/>
      <c r="H1" s="183"/>
      <c r="I1" s="183"/>
      <c r="J1" s="183"/>
    </row>
    <row r="2" spans="1:14" ht="19.5" hidden="1" customHeight="1">
      <c r="B2" s="4"/>
      <c r="C2" s="4"/>
      <c r="D2" s="4"/>
      <c r="F2" s="4"/>
      <c r="G2" s="4"/>
      <c r="H2" s="4"/>
      <c r="I2" s="187"/>
      <c r="J2" s="187"/>
    </row>
    <row r="3" spans="1:14" ht="19.5" hidden="1" customHeight="1">
      <c r="B3" s="4"/>
      <c r="C3" s="4"/>
      <c r="D3" s="185" t="s">
        <v>52</v>
      </c>
      <c r="E3" s="185"/>
      <c r="F3" s="4"/>
      <c r="G3" s="4"/>
      <c r="H3" s="4"/>
      <c r="I3" s="90"/>
      <c r="J3" s="90"/>
    </row>
    <row r="4" spans="1:14" ht="19.5" hidden="1" customHeight="1">
      <c r="A4" s="141">
        <f>+E6-E5</f>
        <v>1011</v>
      </c>
      <c r="B4" s="4"/>
      <c r="C4" s="4"/>
      <c r="D4" s="91" t="s">
        <v>27</v>
      </c>
      <c r="E4" s="118">
        <f>+YPF!D4</f>
        <v>44169</v>
      </c>
      <c r="F4" s="4"/>
      <c r="G4" s="4"/>
      <c r="H4" s="4"/>
      <c r="I4" s="90"/>
      <c r="J4" s="90"/>
    </row>
    <row r="5" spans="1:14" ht="19.5" hidden="1" customHeight="1">
      <c r="A5" s="86">
        <f>+A4/30</f>
        <v>33.700000000000003</v>
      </c>
      <c r="B5" s="4"/>
      <c r="C5" s="4"/>
      <c r="D5" s="91" t="s">
        <v>26</v>
      </c>
      <c r="E5" s="118">
        <f>+YPF!D5</f>
        <v>44253</v>
      </c>
      <c r="F5" s="4"/>
      <c r="G5" s="4"/>
      <c r="H5" s="4"/>
      <c r="I5" s="4"/>
      <c r="J5" s="173"/>
    </row>
    <row r="6" spans="1:14" ht="19.5" hidden="1" customHeight="1">
      <c r="B6" s="4"/>
      <c r="C6" s="4"/>
      <c r="D6" s="91" t="s">
        <v>0</v>
      </c>
      <c r="E6" s="118">
        <f>+YPF!D6</f>
        <v>45264</v>
      </c>
      <c r="F6" s="4"/>
      <c r="G6" s="4"/>
      <c r="H6" s="4"/>
      <c r="I6" s="4"/>
      <c r="J6" s="4"/>
    </row>
    <row r="7" spans="1:14" ht="19.5" hidden="1" customHeight="1">
      <c r="C7" s="48"/>
      <c r="D7" s="91" t="s">
        <v>1</v>
      </c>
      <c r="E7" s="119" t="s">
        <v>20</v>
      </c>
      <c r="F7" s="4"/>
      <c r="G7" s="4"/>
      <c r="H7" s="24"/>
      <c r="I7" s="24"/>
      <c r="J7" s="4"/>
    </row>
    <row r="8" spans="1:14" ht="19.5" hidden="1" customHeight="1">
      <c r="C8" s="48"/>
      <c r="D8" s="91" t="s">
        <v>2</v>
      </c>
      <c r="E8" s="119">
        <v>365</v>
      </c>
      <c r="F8" s="4"/>
      <c r="G8" s="4"/>
      <c r="H8" s="24"/>
      <c r="I8" s="24"/>
      <c r="J8" s="24"/>
    </row>
    <row r="9" spans="1:14" ht="19.5" hidden="1" customHeight="1">
      <c r="C9" s="48"/>
      <c r="D9" s="120" t="s">
        <v>18</v>
      </c>
      <c r="E9" s="121">
        <v>100</v>
      </c>
      <c r="F9" s="49"/>
      <c r="G9" s="4"/>
      <c r="I9" s="41"/>
    </row>
    <row r="10" spans="1:14" ht="19.5" hidden="1" customHeight="1">
      <c r="C10" s="42"/>
      <c r="D10" s="120" t="s">
        <v>15</v>
      </c>
      <c r="E10" s="6">
        <f>+YPF!D8</f>
        <v>0.02</v>
      </c>
      <c r="F10" s="4"/>
      <c r="G10" s="4"/>
      <c r="I10" s="41"/>
    </row>
    <row r="11" spans="1:14" ht="19.5" hidden="1" customHeight="1">
      <c r="D11" s="120" t="s">
        <v>11</v>
      </c>
      <c r="E11" s="122">
        <f>+SUMPRODUCT(A22:A33,F22:F33)/F34/E8</f>
        <v>2.7698630136986302</v>
      </c>
      <c r="F11" s="4"/>
    </row>
    <row r="12" spans="1:14" ht="19.5" hidden="1" customHeight="1">
      <c r="D12" s="120" t="s">
        <v>22</v>
      </c>
      <c r="E12" s="122">
        <f>+SUMPRODUCT(M22:M33,A22:A33)/M20/E8</f>
        <v>2.6883749565843336</v>
      </c>
      <c r="F12" s="4"/>
      <c r="M12" s="61" t="s">
        <v>14</v>
      </c>
      <c r="N12" s="61"/>
    </row>
    <row r="13" spans="1:14" ht="19.5" hidden="1" customHeight="1">
      <c r="D13" s="123" t="s">
        <v>21</v>
      </c>
      <c r="E13" s="124">
        <f>+YPF!D17</f>
        <v>99.125</v>
      </c>
      <c r="F13" s="4"/>
      <c r="M13" s="61" t="s">
        <v>13</v>
      </c>
      <c r="N13" s="125">
        <f>XIRR(J20:J33,D20:D33)</f>
        <v>2.5239631533622738E-2</v>
      </c>
    </row>
    <row r="14" spans="1:14" ht="19.5" hidden="1" customHeight="1">
      <c r="D14" s="126" t="s">
        <v>13</v>
      </c>
      <c r="E14" s="6">
        <f>+XIRR(J20:J33,D20:D33)</f>
        <v>2.5239631533622738E-2</v>
      </c>
      <c r="F14" s="4"/>
      <c r="I14" s="24"/>
      <c r="J14" s="24"/>
    </row>
    <row r="15" spans="1:14" ht="19.5" hidden="1" customHeight="1">
      <c r="D15" s="126" t="s">
        <v>17</v>
      </c>
      <c r="E15" s="6">
        <f>((1+E14)^(90/365)-1)*(365/90)</f>
        <v>2.5003130899392198E-2</v>
      </c>
      <c r="I15" s="24"/>
      <c r="J15" s="24"/>
    </row>
    <row r="16" spans="1:14" ht="19.5" hidden="1" customHeight="1">
      <c r="D16" s="127" t="s">
        <v>24</v>
      </c>
      <c r="E16" s="128">
        <f>+YPF!D21</f>
        <v>2.5000000000000001E-2</v>
      </c>
      <c r="F16" s="62"/>
      <c r="I16" s="24"/>
      <c r="J16" s="24"/>
    </row>
    <row r="17" spans="1:15" ht="19.5" hidden="1" customHeight="1">
      <c r="D17" s="126" t="s">
        <v>12</v>
      </c>
      <c r="E17" s="129">
        <f>+O20/E9*100</f>
        <v>99.125829569085724</v>
      </c>
      <c r="F17" s="65"/>
      <c r="I17" s="24"/>
      <c r="J17" s="24"/>
    </row>
    <row r="18" spans="1:15" ht="10.5" hidden="1" customHeight="1">
      <c r="K18" s="28"/>
      <c r="L18" s="8"/>
    </row>
    <row r="19" spans="1:15" ht="19.5" customHeight="1">
      <c r="C19" s="130" t="s">
        <v>3</v>
      </c>
      <c r="D19" s="131" t="s">
        <v>31</v>
      </c>
      <c r="E19" s="131" t="s">
        <v>5</v>
      </c>
      <c r="F19" s="131" t="s">
        <v>6</v>
      </c>
      <c r="G19" s="131" t="s">
        <v>16</v>
      </c>
      <c r="H19" s="131" t="s">
        <v>10</v>
      </c>
      <c r="I19" s="131" t="s">
        <v>7</v>
      </c>
      <c r="J19" s="131" t="s">
        <v>8</v>
      </c>
      <c r="K19" s="28"/>
      <c r="L19" s="184" t="s">
        <v>9</v>
      </c>
      <c r="M19" s="184"/>
    </row>
    <row r="20" spans="1:15" ht="19.5" customHeight="1">
      <c r="C20" s="7"/>
      <c r="D20" s="16">
        <f>+E5</f>
        <v>44253</v>
      </c>
      <c r="E20" s="7"/>
      <c r="F20" s="7"/>
      <c r="G20" s="7"/>
      <c r="H20" s="7"/>
      <c r="I20" s="88"/>
      <c r="J20" s="88">
        <f>-E9*E13/100</f>
        <v>-99.125</v>
      </c>
      <c r="K20" s="28"/>
      <c r="L20" s="132">
        <f>(SUM(L22:L33))/E9</f>
        <v>0.99125000339281888</v>
      </c>
      <c r="M20" s="132">
        <f>SUM(M22:M33)</f>
        <v>0.99125000339281877</v>
      </c>
      <c r="N20" s="133">
        <f>+SUM(N22:N33)</f>
        <v>99.187313774650875</v>
      </c>
      <c r="O20" s="133">
        <f>+SUM(O22:O33)</f>
        <v>99.125829569085724</v>
      </c>
    </row>
    <row r="21" spans="1:15" ht="19.5" customHeight="1">
      <c r="C21" s="7">
        <v>0</v>
      </c>
      <c r="D21" s="16">
        <f>YPF!D4</f>
        <v>44169</v>
      </c>
      <c r="E21" s="10">
        <f>+D20-D21</f>
        <v>84</v>
      </c>
      <c r="F21" s="7"/>
      <c r="G21" s="7"/>
      <c r="H21" s="7"/>
      <c r="I21" s="88"/>
      <c r="J21" s="88"/>
      <c r="K21" s="28"/>
      <c r="L21" s="132"/>
      <c r="M21" s="132"/>
      <c r="N21" s="133"/>
      <c r="O21" s="133"/>
    </row>
    <row r="22" spans="1:15" ht="19.5" customHeight="1">
      <c r="A22" s="142">
        <f t="shared" ref="A22:A33" si="0">+D22-$D$20</f>
        <v>6</v>
      </c>
      <c r="C22" s="7">
        <v>1</v>
      </c>
      <c r="D22" s="16">
        <f t="shared" ref="D22:D31" si="1">+EDATE(D23,-3)</f>
        <v>44259</v>
      </c>
      <c r="E22" s="10">
        <f t="shared" ref="E22:E32" si="2">+D22-D21</f>
        <v>90</v>
      </c>
      <c r="F22" s="7">
        <f t="shared" ref="F22:F31" si="3">+G22*$E$9</f>
        <v>0</v>
      </c>
      <c r="G22" s="12">
        <v>0</v>
      </c>
      <c r="H22" s="50">
        <f t="shared" ref="H22:H33" si="4">+$E$10</f>
        <v>0.02</v>
      </c>
      <c r="I22" s="88">
        <f t="shared" ref="I22:I33" si="5">+H22/$E$8*E22*$E$9</f>
        <v>0.49315068493150682</v>
      </c>
      <c r="J22" s="88">
        <f t="shared" ref="J22:J33" si="6">+I22+F22</f>
        <v>0.49315068493150682</v>
      </c>
      <c r="K22" s="28"/>
      <c r="L22" s="134">
        <f t="shared" ref="L22:L33" si="7">+J22/((1+$E$14)^(A22/$E$8))</f>
        <v>0.49294865853002512</v>
      </c>
      <c r="M22" s="135">
        <f t="shared" ref="M22:M32" si="8">+L22/$E$9</f>
        <v>4.9294865853002513E-3</v>
      </c>
      <c r="N22" s="136">
        <f t="shared" ref="N22:N33" si="9">+J22/((1+$E$16)^(A22/365))</f>
        <v>0.49295055274929356</v>
      </c>
      <c r="O22" s="138">
        <f t="shared" ref="O22:O33" si="10">+J22/(1+($E$16)*90/365)^((D22-$D$20)/90)</f>
        <v>0.49294868374509004</v>
      </c>
    </row>
    <row r="23" spans="1:15" ht="19.5" customHeight="1">
      <c r="A23" s="142">
        <f t="shared" si="0"/>
        <v>98</v>
      </c>
      <c r="C23" s="7">
        <v>2</v>
      </c>
      <c r="D23" s="16">
        <f t="shared" si="1"/>
        <v>44351</v>
      </c>
      <c r="E23" s="10">
        <f t="shared" si="2"/>
        <v>92</v>
      </c>
      <c r="F23" s="7">
        <f t="shared" si="3"/>
        <v>0</v>
      </c>
      <c r="G23" s="12">
        <v>0</v>
      </c>
      <c r="H23" s="50">
        <f t="shared" si="4"/>
        <v>0.02</v>
      </c>
      <c r="I23" s="88">
        <f t="shared" si="5"/>
        <v>0.50410958904109593</v>
      </c>
      <c r="J23" s="88">
        <f t="shared" si="6"/>
        <v>0.50410958904109593</v>
      </c>
      <c r="K23" s="28"/>
      <c r="L23" s="134">
        <f t="shared" si="7"/>
        <v>0.50074706975716132</v>
      </c>
      <c r="M23" s="135">
        <f t="shared" si="8"/>
        <v>5.0074706975716133E-3</v>
      </c>
      <c r="N23" s="136">
        <f t="shared" si="9"/>
        <v>0.50077849904911698</v>
      </c>
      <c r="O23" s="138">
        <f t="shared" si="10"/>
        <v>0.50074748811876091</v>
      </c>
    </row>
    <row r="24" spans="1:15" ht="19.5" customHeight="1">
      <c r="A24" s="142">
        <f t="shared" si="0"/>
        <v>190</v>
      </c>
      <c r="C24" s="7">
        <v>3</v>
      </c>
      <c r="D24" s="16">
        <f t="shared" si="1"/>
        <v>44443</v>
      </c>
      <c r="E24" s="10">
        <f t="shared" si="2"/>
        <v>92</v>
      </c>
      <c r="F24" s="7">
        <f t="shared" si="3"/>
        <v>0</v>
      </c>
      <c r="G24" s="12">
        <v>0</v>
      </c>
      <c r="H24" s="50">
        <f t="shared" si="4"/>
        <v>0.02</v>
      </c>
      <c r="I24" s="88">
        <f t="shared" si="5"/>
        <v>0.50410958904109593</v>
      </c>
      <c r="J24" s="88">
        <f t="shared" si="6"/>
        <v>0.50410958904109593</v>
      </c>
      <c r="K24" s="28"/>
      <c r="L24" s="134">
        <f t="shared" si="7"/>
        <v>0.49761083276577356</v>
      </c>
      <c r="M24" s="135">
        <f t="shared" si="8"/>
        <v>4.9761083276577359E-3</v>
      </c>
      <c r="N24" s="136">
        <f t="shared" si="9"/>
        <v>0.49767138725241272</v>
      </c>
      <c r="O24" s="138">
        <f t="shared" si="10"/>
        <v>0.49761163879524234</v>
      </c>
    </row>
    <row r="25" spans="1:15" ht="19.5" customHeight="1">
      <c r="A25" s="142">
        <f t="shared" si="0"/>
        <v>281</v>
      </c>
      <c r="C25" s="7">
        <v>4</v>
      </c>
      <c r="D25" s="16">
        <f t="shared" si="1"/>
        <v>44534</v>
      </c>
      <c r="E25" s="10">
        <f t="shared" si="2"/>
        <v>91</v>
      </c>
      <c r="F25" s="7">
        <f t="shared" si="3"/>
        <v>0</v>
      </c>
      <c r="G25" s="12">
        <v>0</v>
      </c>
      <c r="H25" s="50">
        <f t="shared" si="4"/>
        <v>0.02</v>
      </c>
      <c r="I25" s="88">
        <f t="shared" si="5"/>
        <v>0.49863013698630138</v>
      </c>
      <c r="J25" s="88">
        <f t="shared" si="6"/>
        <v>0.49863013698630138</v>
      </c>
      <c r="K25" s="28"/>
      <c r="L25" s="134">
        <f t="shared" si="7"/>
        <v>0.48915270481402917</v>
      </c>
      <c r="M25" s="135">
        <f t="shared" si="8"/>
        <v>4.8915270481402918E-3</v>
      </c>
      <c r="N25" s="136">
        <f t="shared" si="9"/>
        <v>0.48924074203691897</v>
      </c>
      <c r="O25" s="138">
        <f t="shared" si="10"/>
        <v>0.48915387662737697</v>
      </c>
    </row>
    <row r="26" spans="1:15" ht="19.5" customHeight="1">
      <c r="A26" s="142">
        <f t="shared" si="0"/>
        <v>371</v>
      </c>
      <c r="C26" s="7">
        <v>5</v>
      </c>
      <c r="D26" s="16">
        <f t="shared" si="1"/>
        <v>44624</v>
      </c>
      <c r="E26" s="10">
        <f t="shared" si="2"/>
        <v>90</v>
      </c>
      <c r="F26" s="7">
        <f t="shared" si="3"/>
        <v>0</v>
      </c>
      <c r="G26" s="12">
        <v>0</v>
      </c>
      <c r="H26" s="50">
        <f t="shared" si="4"/>
        <v>0.02</v>
      </c>
      <c r="I26" s="88">
        <f t="shared" si="5"/>
        <v>0.49315068493150682</v>
      </c>
      <c r="J26" s="88">
        <f t="shared" si="6"/>
        <v>0.49315068493150682</v>
      </c>
      <c r="K26" s="28"/>
      <c r="L26" s="134">
        <f t="shared" si="7"/>
        <v>0.48081311272823035</v>
      </c>
      <c r="M26" s="135">
        <f t="shared" si="8"/>
        <v>4.8081311272823038E-3</v>
      </c>
      <c r="N26" s="136">
        <f t="shared" si="9"/>
        <v>0.48092736853589618</v>
      </c>
      <c r="O26" s="138">
        <f t="shared" si="10"/>
        <v>0.48081463347898573</v>
      </c>
    </row>
    <row r="27" spans="1:15" ht="19.5" customHeight="1">
      <c r="A27" s="142">
        <f t="shared" si="0"/>
        <v>463</v>
      </c>
      <c r="C27" s="7">
        <v>6</v>
      </c>
      <c r="D27" s="16">
        <f t="shared" si="1"/>
        <v>44716</v>
      </c>
      <c r="E27" s="10">
        <f t="shared" si="2"/>
        <v>92</v>
      </c>
      <c r="F27" s="7">
        <f t="shared" si="3"/>
        <v>0</v>
      </c>
      <c r="G27" s="12">
        <v>0</v>
      </c>
      <c r="H27" s="50">
        <f t="shared" si="4"/>
        <v>0.02</v>
      </c>
      <c r="I27" s="88">
        <f t="shared" si="5"/>
        <v>0.50410958904109593</v>
      </c>
      <c r="J27" s="88">
        <f t="shared" si="6"/>
        <v>0.50410958904109593</v>
      </c>
      <c r="K27" s="28"/>
      <c r="L27" s="134">
        <f t="shared" si="7"/>
        <v>0.4884195405206001</v>
      </c>
      <c r="M27" s="135">
        <f t="shared" si="8"/>
        <v>4.8841954052060007E-3</v>
      </c>
      <c r="N27" s="136">
        <f t="shared" si="9"/>
        <v>0.48856438931621171</v>
      </c>
      <c r="O27" s="138">
        <f t="shared" si="10"/>
        <v>0.48842146840957651</v>
      </c>
    </row>
    <row r="28" spans="1:15" ht="19.5" customHeight="1">
      <c r="A28" s="142">
        <f t="shared" si="0"/>
        <v>555</v>
      </c>
      <c r="C28" s="7">
        <v>7</v>
      </c>
      <c r="D28" s="16">
        <f t="shared" si="1"/>
        <v>44808</v>
      </c>
      <c r="E28" s="10">
        <f t="shared" si="2"/>
        <v>92</v>
      </c>
      <c r="F28" s="7">
        <f t="shared" si="3"/>
        <v>0</v>
      </c>
      <c r="G28" s="12">
        <v>0</v>
      </c>
      <c r="H28" s="50">
        <f t="shared" si="4"/>
        <v>0.02</v>
      </c>
      <c r="I28" s="88">
        <f t="shared" si="5"/>
        <v>0.50410958904109593</v>
      </c>
      <c r="J28" s="88">
        <f t="shared" si="6"/>
        <v>0.50410958904109593</v>
      </c>
      <c r="K28" s="28"/>
      <c r="L28" s="134">
        <f t="shared" si="7"/>
        <v>0.48536051227498261</v>
      </c>
      <c r="M28" s="135">
        <f t="shared" si="8"/>
        <v>4.8536051227498263E-3</v>
      </c>
      <c r="N28" s="136">
        <f t="shared" si="9"/>
        <v>0.48553306073406133</v>
      </c>
      <c r="O28" s="138">
        <f t="shared" si="10"/>
        <v>0.4853628087704473</v>
      </c>
    </row>
    <row r="29" spans="1:15" ht="19.5" customHeight="1">
      <c r="A29" s="142">
        <f t="shared" si="0"/>
        <v>646</v>
      </c>
      <c r="C29" s="7">
        <v>8</v>
      </c>
      <c r="D29" s="16">
        <f t="shared" si="1"/>
        <v>44899</v>
      </c>
      <c r="E29" s="10">
        <f t="shared" si="2"/>
        <v>91</v>
      </c>
      <c r="F29" s="7">
        <f t="shared" si="3"/>
        <v>0</v>
      </c>
      <c r="G29" s="12">
        <v>0</v>
      </c>
      <c r="H29" s="50">
        <f t="shared" si="4"/>
        <v>0.02</v>
      </c>
      <c r="I29" s="88">
        <f t="shared" si="5"/>
        <v>0.49863013698630138</v>
      </c>
      <c r="J29" s="88">
        <f t="shared" si="6"/>
        <v>0.49863013698630138</v>
      </c>
      <c r="K29" s="28"/>
      <c r="L29" s="134">
        <f t="shared" si="7"/>
        <v>0.47711060884597439</v>
      </c>
      <c r="M29" s="135">
        <f t="shared" si="8"/>
        <v>4.7711060884597437E-3</v>
      </c>
      <c r="N29" s="136">
        <f t="shared" si="9"/>
        <v>0.47730804101162827</v>
      </c>
      <c r="O29" s="138">
        <f t="shared" si="10"/>
        <v>0.47711323645006054</v>
      </c>
    </row>
    <row r="30" spans="1:15" ht="19.5" customHeight="1">
      <c r="A30" s="142">
        <f t="shared" si="0"/>
        <v>736</v>
      </c>
      <c r="C30" s="7">
        <v>9</v>
      </c>
      <c r="D30" s="16">
        <f t="shared" si="1"/>
        <v>44989</v>
      </c>
      <c r="E30" s="10">
        <f t="shared" si="2"/>
        <v>90</v>
      </c>
      <c r="F30" s="7">
        <f t="shared" si="3"/>
        <v>0</v>
      </c>
      <c r="G30" s="12">
        <v>0</v>
      </c>
      <c r="H30" s="50">
        <f t="shared" si="4"/>
        <v>0.02</v>
      </c>
      <c r="I30" s="88">
        <f t="shared" si="5"/>
        <v>0.49315068493150682</v>
      </c>
      <c r="J30" s="88">
        <f t="shared" si="6"/>
        <v>0.49315068493150682</v>
      </c>
      <c r="K30" s="28"/>
      <c r="L30" s="134">
        <f t="shared" si="7"/>
        <v>0.4689763231343268</v>
      </c>
      <c r="M30" s="135">
        <f t="shared" si="8"/>
        <v>4.6897632313432679E-3</v>
      </c>
      <c r="N30" s="136">
        <f t="shared" si="9"/>
        <v>0.46919743271794745</v>
      </c>
      <c r="O30" s="138">
        <f t="shared" si="10"/>
        <v>0.46897926577501292</v>
      </c>
    </row>
    <row r="31" spans="1:15" ht="19.5" customHeight="1">
      <c r="A31" s="142">
        <f t="shared" si="0"/>
        <v>828</v>
      </c>
      <c r="C31" s="7">
        <v>10</v>
      </c>
      <c r="D31" s="16">
        <f t="shared" si="1"/>
        <v>45081</v>
      </c>
      <c r="E31" s="10">
        <f t="shared" si="2"/>
        <v>92</v>
      </c>
      <c r="F31" s="7">
        <f t="shared" si="3"/>
        <v>0</v>
      </c>
      <c r="G31" s="12">
        <v>0</v>
      </c>
      <c r="H31" s="50">
        <f t="shared" si="4"/>
        <v>0.02</v>
      </c>
      <c r="I31" s="88">
        <f t="shared" si="5"/>
        <v>0.50410958904109593</v>
      </c>
      <c r="J31" s="88">
        <f t="shared" si="6"/>
        <v>0.50410958904109593</v>
      </c>
      <c r="K31" s="28"/>
      <c r="L31" s="134">
        <f t="shared" si="7"/>
        <v>0.47639549379298679</v>
      </c>
      <c r="M31" s="135">
        <f t="shared" si="8"/>
        <v>4.7639549379298683E-3</v>
      </c>
      <c r="N31" s="136">
        <f t="shared" si="9"/>
        <v>0.47664818469874315</v>
      </c>
      <c r="O31" s="138">
        <f t="shared" si="10"/>
        <v>0.47639885663647968</v>
      </c>
    </row>
    <row r="32" spans="1:15" ht="19.5" customHeight="1">
      <c r="A32" s="142">
        <f t="shared" si="0"/>
        <v>920</v>
      </c>
      <c r="C32" s="7">
        <v>11</v>
      </c>
      <c r="D32" s="16">
        <f>+EDATE(D33,-3)</f>
        <v>45173</v>
      </c>
      <c r="E32" s="10">
        <f t="shared" si="2"/>
        <v>92</v>
      </c>
      <c r="F32" s="7">
        <f t="shared" ref="F32" si="11">+G32*$E$9</f>
        <v>0</v>
      </c>
      <c r="G32" s="12">
        <v>0</v>
      </c>
      <c r="H32" s="50">
        <f t="shared" si="4"/>
        <v>0.02</v>
      </c>
      <c r="I32" s="88">
        <f t="shared" ref="I32" si="12">+H32/$E$8*E32*$E$9</f>
        <v>0.50410958904109593</v>
      </c>
      <c r="J32" s="88">
        <f t="shared" ref="J32" si="13">+I32+F32</f>
        <v>0.50410958904109593</v>
      </c>
      <c r="K32" s="28"/>
      <c r="L32" s="134">
        <f t="shared" si="7"/>
        <v>0.47341177354697811</v>
      </c>
      <c r="M32" s="135">
        <f t="shared" si="8"/>
        <v>4.7341177354697809E-3</v>
      </c>
      <c r="N32" s="136">
        <f t="shared" si="9"/>
        <v>0.47369079096005984</v>
      </c>
      <c r="O32" s="138">
        <f t="shared" si="10"/>
        <v>0.47341548663911637</v>
      </c>
    </row>
    <row r="33" spans="1:15" ht="19.5" customHeight="1">
      <c r="A33" s="142">
        <f t="shared" si="0"/>
        <v>1011</v>
      </c>
      <c r="C33" s="7">
        <v>12</v>
      </c>
      <c r="D33" s="16">
        <f>+E6</f>
        <v>45264</v>
      </c>
      <c r="E33" s="10">
        <f>+D33-D32</f>
        <v>91</v>
      </c>
      <c r="F33" s="7">
        <f>+G33*E9</f>
        <v>100</v>
      </c>
      <c r="G33" s="12">
        <v>1</v>
      </c>
      <c r="H33" s="50">
        <f t="shared" si="4"/>
        <v>0.02</v>
      </c>
      <c r="I33" s="88">
        <f t="shared" si="5"/>
        <v>0.49863013698630138</v>
      </c>
      <c r="J33" s="88">
        <f t="shared" si="6"/>
        <v>100.49863013698631</v>
      </c>
      <c r="K33" s="28"/>
      <c r="L33" s="134">
        <f t="shared" si="7"/>
        <v>93.794053708570814</v>
      </c>
      <c r="M33" s="135">
        <f>+L33/$E$9</f>
        <v>0.93794053708570813</v>
      </c>
      <c r="N33" s="136">
        <f t="shared" si="9"/>
        <v>93.854803325588577</v>
      </c>
      <c r="O33" s="138">
        <f t="shared" si="10"/>
        <v>93.794862125639568</v>
      </c>
    </row>
    <row r="34" spans="1:15" ht="19.5" customHeight="1">
      <c r="C34" s="7"/>
      <c r="D34" s="52"/>
      <c r="E34" s="53">
        <f>+SUM(E20:E33)</f>
        <v>1179</v>
      </c>
      <c r="F34" s="53">
        <f>+SUM(F33:F33)</f>
        <v>100</v>
      </c>
      <c r="G34" s="55">
        <f>+SUM(G33:G33)</f>
        <v>1</v>
      </c>
      <c r="H34" s="89"/>
      <c r="I34" s="53">
        <f>+SUM(I33:I33)</f>
        <v>0.49863013698630138</v>
      </c>
      <c r="J34" s="53"/>
      <c r="K34" s="28"/>
      <c r="L34" s="28"/>
      <c r="M34" s="137">
        <f>SUM(M33:M33)</f>
        <v>0.93794053708570813</v>
      </c>
    </row>
    <row r="35" spans="1:15" ht="19.5" customHeight="1">
      <c r="D35" s="19"/>
      <c r="H35" s="18"/>
      <c r="K35" s="28"/>
      <c r="L35" s="28"/>
      <c r="M35" s="28"/>
    </row>
    <row r="36" spans="1:15" ht="19.5" customHeight="1">
      <c r="K36" s="28"/>
      <c r="M36" s="28"/>
      <c r="N36" s="28"/>
    </row>
    <row r="37" spans="1:15" ht="19.5" customHeight="1">
      <c r="K37" s="28"/>
    </row>
    <row r="38" spans="1:15" ht="19.5" customHeight="1">
      <c r="B38" s="188" t="s">
        <v>28</v>
      </c>
      <c r="C38" s="188"/>
      <c r="D38" s="188"/>
      <c r="E38" s="188"/>
      <c r="F38" s="188"/>
      <c r="G38" s="188"/>
      <c r="H38" s="188"/>
      <c r="I38" s="188"/>
      <c r="J38" s="188"/>
      <c r="K38" s="28"/>
    </row>
    <row r="39" spans="1:15" ht="36.75" customHeight="1">
      <c r="B39" s="188"/>
      <c r="C39" s="188"/>
      <c r="D39" s="188"/>
      <c r="E39" s="188"/>
      <c r="F39" s="188"/>
      <c r="G39" s="188"/>
      <c r="H39" s="188"/>
      <c r="I39" s="188"/>
      <c r="J39" s="188"/>
    </row>
    <row r="40" spans="1:15" ht="19.5" customHeight="1">
      <c r="B40" s="186"/>
      <c r="C40" s="186"/>
      <c r="D40" s="186"/>
    </row>
  </sheetData>
  <sheetProtection algorithmName="SHA-512" hashValue="2FvUdALpJS10OfcqdLK5j1Zra8E8x7MIAlDRBVFx4ztNuaLGPGtg3rxEG3oy3wU3W0I2Gt0sMneQYR1IofKFjA==" saltValue="QKwJiUn3JYx1l0YQ/j0DxQ==" spinCount="100000" sheet="1" scenarios="1" selectLockedCells="1" selectUnlockedCells="1"/>
  <protectedRanges>
    <protectedRange sqref="G8" name="Rango1"/>
  </protectedRanges>
  <mergeCells count="6">
    <mergeCell ref="C1:J1"/>
    <mergeCell ref="L19:M19"/>
    <mergeCell ref="D3:E3"/>
    <mergeCell ref="B40:D40"/>
    <mergeCell ref="I2:J2"/>
    <mergeCell ref="B38:J39"/>
  </mergeCells>
  <pageMargins left="0.24" right="0.33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5"/>
  <sheetViews>
    <sheetView showGridLines="0" zoomScaleNormal="100" workbookViewId="0">
      <selection activeCell="K19" sqref="K19"/>
    </sheetView>
  </sheetViews>
  <sheetFormatPr baseColWidth="10" defaultColWidth="11.5" defaultRowHeight="19.5" customHeight="1"/>
  <cols>
    <col min="1" max="1" width="3.33203125" style="3" customWidth="1"/>
    <col min="2" max="2" width="5.5" style="3" customWidth="1"/>
    <col min="3" max="3" width="8.33203125" style="3" customWidth="1"/>
    <col min="4" max="4" width="41.33203125" style="3" bestFit="1" customWidth="1"/>
    <col min="5" max="5" width="6" style="3" customWidth="1"/>
    <col min="6" max="6" width="13.5" style="3" customWidth="1"/>
    <col min="7" max="7" width="16.6640625" style="3" bestFit="1" customWidth="1"/>
    <col min="8" max="8" width="12.83203125" style="3" customWidth="1"/>
    <col min="9" max="9" width="15" style="3" customWidth="1"/>
    <col min="10" max="11" width="15.6640625" style="3" customWidth="1"/>
    <col min="12" max="12" width="14.33203125" style="3" customWidth="1"/>
    <col min="13" max="13" width="16.5" style="3" customWidth="1"/>
    <col min="14" max="14" width="3.6640625" style="3" customWidth="1"/>
    <col min="15" max="16" width="4.5" style="3" hidden="1" customWidth="1"/>
    <col min="17" max="17" width="14" style="3" hidden="1" customWidth="1"/>
    <col min="18" max="18" width="9.33203125" style="3" hidden="1" customWidth="1"/>
    <col min="19" max="19" width="12.33203125" style="3" hidden="1" customWidth="1"/>
    <col min="20" max="21" width="11.5" style="3" customWidth="1"/>
    <col min="22" max="16384" width="11.5" style="3"/>
  </cols>
  <sheetData>
    <row r="1" spans="1:18" ht="19.5" customHeight="1" thickBot="1">
      <c r="B1" s="189" t="s">
        <v>70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8" ht="19.5" hidden="1" customHeight="1">
      <c r="A2" s="21"/>
      <c r="B2" s="4"/>
      <c r="C2" s="4"/>
      <c r="D2" s="4"/>
      <c r="E2" s="5"/>
      <c r="F2" s="5"/>
      <c r="G2" s="4"/>
      <c r="H2" s="4"/>
      <c r="I2" s="4"/>
      <c r="J2" s="187"/>
      <c r="K2" s="187"/>
      <c r="L2" s="187"/>
      <c r="M2" s="45"/>
      <c r="N2" s="45"/>
      <c r="O2" s="22"/>
      <c r="P2" s="5"/>
    </row>
    <row r="3" spans="1:18" ht="19.5" hidden="1" customHeight="1">
      <c r="A3" s="21"/>
      <c r="B3" s="4"/>
      <c r="C3" s="4"/>
      <c r="D3" s="199" t="s">
        <v>25</v>
      </c>
      <c r="E3" s="200"/>
      <c r="F3" s="201"/>
      <c r="G3" s="4"/>
      <c r="H3" s="4"/>
      <c r="I3" s="4"/>
      <c r="J3" s="47"/>
      <c r="K3" s="164"/>
      <c r="L3" s="47"/>
      <c r="M3" s="47"/>
      <c r="N3" s="47"/>
      <c r="O3" s="22"/>
      <c r="P3" s="5"/>
    </row>
    <row r="4" spans="1:18" ht="19.5" hidden="1" customHeight="1">
      <c r="A4" s="21"/>
      <c r="B4" s="4"/>
      <c r="C4" s="4"/>
      <c r="D4" s="66" t="s">
        <v>19</v>
      </c>
      <c r="E4" s="83"/>
      <c r="F4" s="80">
        <f>+YPF!$J$4</f>
        <v>44253</v>
      </c>
      <c r="G4" s="4"/>
      <c r="H4" s="4"/>
      <c r="I4" s="4"/>
      <c r="J4" s="4"/>
      <c r="K4" s="4"/>
      <c r="L4" s="187"/>
      <c r="M4" s="187"/>
      <c r="N4" s="187"/>
      <c r="O4" s="22"/>
      <c r="P4" s="5"/>
    </row>
    <row r="5" spans="1:18" ht="19.5" hidden="1" customHeight="1">
      <c r="A5" s="21"/>
      <c r="B5" s="4"/>
      <c r="C5" s="4"/>
      <c r="D5" s="67" t="s">
        <v>0</v>
      </c>
      <c r="E5" s="84"/>
      <c r="F5" s="81">
        <f>+YPF!$J$6</f>
        <v>45530</v>
      </c>
      <c r="G5" s="4"/>
      <c r="H5" s="4"/>
      <c r="I5" s="4"/>
      <c r="J5" s="4"/>
      <c r="K5" s="4"/>
      <c r="L5" s="4"/>
      <c r="M5" s="4"/>
      <c r="N5" s="4"/>
      <c r="O5" s="22"/>
      <c r="P5" s="5"/>
    </row>
    <row r="6" spans="1:18" ht="19.5" hidden="1" customHeight="1">
      <c r="A6" s="21"/>
      <c r="B6" s="5"/>
      <c r="C6" s="23"/>
      <c r="D6" s="67" t="s">
        <v>1</v>
      </c>
      <c r="E6" s="5"/>
      <c r="F6" s="68" t="s">
        <v>65</v>
      </c>
      <c r="G6" s="4"/>
      <c r="H6" s="4"/>
      <c r="I6" s="24"/>
      <c r="J6" s="198"/>
      <c r="K6" s="198"/>
      <c r="L6" s="198"/>
      <c r="M6" s="46"/>
      <c r="N6" s="46"/>
      <c r="O6" s="22"/>
      <c r="P6" s="5"/>
    </row>
    <row r="7" spans="1:18" ht="19.5" hidden="1" customHeight="1">
      <c r="A7" s="21"/>
      <c r="B7" s="5"/>
      <c r="C7" s="48"/>
      <c r="D7" s="69" t="s">
        <v>2</v>
      </c>
      <c r="E7" s="43"/>
      <c r="F7" s="70">
        <v>365</v>
      </c>
      <c r="G7" s="4"/>
      <c r="H7" s="4"/>
      <c r="I7" s="24"/>
      <c r="J7" s="24"/>
      <c r="K7" s="24"/>
      <c r="L7" s="4"/>
      <c r="M7" s="4"/>
      <c r="N7" s="4"/>
      <c r="O7" s="22"/>
      <c r="P7" s="5"/>
    </row>
    <row r="8" spans="1:18" ht="19.5" hidden="1" customHeight="1">
      <c r="A8" s="21"/>
      <c r="B8" s="5"/>
      <c r="D8" s="71" t="s">
        <v>18</v>
      </c>
      <c r="E8" s="48"/>
      <c r="F8" s="87">
        <v>100</v>
      </c>
      <c r="G8" s="4"/>
      <c r="H8" s="4"/>
      <c r="I8" s="24"/>
      <c r="J8" s="24"/>
      <c r="K8" s="24"/>
      <c r="L8" s="24"/>
      <c r="M8" s="24"/>
      <c r="N8" s="4"/>
      <c r="O8" s="22"/>
      <c r="P8" s="5"/>
    </row>
    <row r="9" spans="1:18" ht="19.5" hidden="1" customHeight="1">
      <c r="A9" s="21"/>
      <c r="B9" s="5"/>
      <c r="D9" s="72" t="s">
        <v>59</v>
      </c>
      <c r="E9" s="48"/>
      <c r="F9" s="168">
        <f>YPF!J9</f>
        <v>68.27</v>
      </c>
      <c r="G9" s="4"/>
      <c r="H9" s="4"/>
      <c r="I9" s="24"/>
      <c r="J9" s="24"/>
      <c r="K9" s="24"/>
      <c r="L9" s="24"/>
      <c r="M9" s="24"/>
      <c r="N9" s="4"/>
      <c r="O9" s="22"/>
      <c r="P9" s="5"/>
    </row>
    <row r="10" spans="1:18" ht="19.5" hidden="1" customHeight="1">
      <c r="A10" s="21"/>
      <c r="B10" s="5"/>
      <c r="D10" s="72" t="s">
        <v>12</v>
      </c>
      <c r="E10" s="48"/>
      <c r="F10" s="74">
        <v>100</v>
      </c>
      <c r="G10" s="4"/>
      <c r="H10" s="4"/>
      <c r="J10" s="41"/>
      <c r="K10" s="41"/>
      <c r="N10" s="5"/>
      <c r="O10" s="22"/>
      <c r="P10" s="5"/>
    </row>
    <row r="11" spans="1:18" ht="19.5" hidden="1" customHeight="1">
      <c r="A11" s="21"/>
      <c r="B11" s="5"/>
      <c r="D11" s="72" t="s">
        <v>11</v>
      </c>
      <c r="E11" s="5"/>
      <c r="F11" s="74">
        <f>+SUMPRODUCT(E19:E33,H19:H33)/H34/F7</f>
        <v>3.4986301369863013</v>
      </c>
      <c r="J11" s="41"/>
      <c r="K11" s="41"/>
      <c r="M11" s="7"/>
      <c r="N11" s="5"/>
      <c r="O11" s="22"/>
      <c r="P11" s="5"/>
    </row>
    <row r="12" spans="1:18" ht="19.5" hidden="1" customHeight="1">
      <c r="A12" s="21"/>
      <c r="B12" s="5"/>
      <c r="D12" s="75" t="s">
        <v>22</v>
      </c>
      <c r="E12" s="5"/>
      <c r="F12" s="76">
        <f>+SUMPRODUCT(R19:R33,E19:E33)/R18/F7</f>
        <v>3.3343435250802695</v>
      </c>
      <c r="N12" s="5"/>
      <c r="O12" s="22"/>
      <c r="P12" s="5"/>
    </row>
    <row r="13" spans="1:18" ht="19.5" hidden="1" customHeight="1">
      <c r="A13" s="21"/>
      <c r="B13" s="5"/>
      <c r="D13" s="67" t="s">
        <v>23</v>
      </c>
      <c r="E13" s="84"/>
      <c r="F13" s="169">
        <f>+YPF!J17</f>
        <v>0.03</v>
      </c>
      <c r="G13" s="4"/>
      <c r="N13" s="5"/>
      <c r="O13" s="22"/>
      <c r="P13" s="5"/>
      <c r="Q13" s="25" t="s">
        <v>14</v>
      </c>
      <c r="R13" s="25"/>
    </row>
    <row r="14" spans="1:18" ht="19.5" hidden="1" customHeight="1">
      <c r="A14" s="21"/>
      <c r="B14" s="5"/>
      <c r="D14" s="77" t="s">
        <v>13</v>
      </c>
      <c r="E14" s="51"/>
      <c r="F14" s="73">
        <f>+XIRR(M18:M33,D18:D33)</f>
        <v>3.0339220166206365E-2</v>
      </c>
      <c r="G14" s="4"/>
      <c r="N14" s="5"/>
      <c r="O14" s="22"/>
      <c r="P14" s="5"/>
      <c r="Q14" s="25" t="s">
        <v>13</v>
      </c>
      <c r="R14" s="26">
        <f>XIRR(M18:M33,D18:D33)</f>
        <v>3.0339220166206365E-2</v>
      </c>
    </row>
    <row r="15" spans="1:18" ht="19.5" hidden="1" customHeight="1" thickBot="1">
      <c r="A15" s="21"/>
      <c r="B15" s="5"/>
      <c r="D15" s="78" t="s">
        <v>17</v>
      </c>
      <c r="E15" s="82"/>
      <c r="F15" s="79">
        <f>((1+F14)^(90/365)-1)*(365/90)</f>
        <v>2.9998491640173465E-2</v>
      </c>
      <c r="G15" s="63"/>
      <c r="H15" s="64"/>
      <c r="J15" s="24"/>
      <c r="K15" s="24"/>
      <c r="L15" s="24"/>
      <c r="N15" s="5"/>
      <c r="O15" s="22"/>
      <c r="P15" s="5"/>
    </row>
    <row r="16" spans="1:18" ht="19.5" hidden="1" customHeight="1">
      <c r="A16" s="21"/>
      <c r="B16" s="5"/>
      <c r="C16" s="5"/>
      <c r="G16" s="4"/>
      <c r="J16" s="24"/>
      <c r="K16" s="24"/>
      <c r="L16" s="24"/>
      <c r="M16" s="6"/>
      <c r="N16" s="5"/>
      <c r="O16" s="22"/>
      <c r="P16" s="5"/>
    </row>
    <row r="17" spans="1:19" ht="19.5" customHeight="1" thickBot="1">
      <c r="A17" s="21"/>
      <c r="B17" s="5"/>
      <c r="C17" s="1" t="s">
        <v>3</v>
      </c>
      <c r="D17" s="2" t="s">
        <v>32</v>
      </c>
      <c r="E17" s="2" t="s">
        <v>4</v>
      </c>
      <c r="F17" s="2" t="s">
        <v>5</v>
      </c>
      <c r="G17" s="2" t="s">
        <v>61</v>
      </c>
      <c r="H17" s="2" t="s">
        <v>6</v>
      </c>
      <c r="I17" s="2" t="s">
        <v>16</v>
      </c>
      <c r="J17" s="2" t="s">
        <v>29</v>
      </c>
      <c r="K17" s="2" t="s">
        <v>63</v>
      </c>
      <c r="L17" s="2" t="s">
        <v>62</v>
      </c>
      <c r="M17" s="2" t="s">
        <v>8</v>
      </c>
      <c r="N17" s="5"/>
      <c r="O17" s="27"/>
      <c r="P17" s="5"/>
      <c r="Q17" s="196" t="s">
        <v>9</v>
      </c>
      <c r="R17" s="197"/>
    </row>
    <row r="18" spans="1:19" ht="19.5" customHeight="1" thickTop="1">
      <c r="A18" s="21"/>
      <c r="B18" s="5"/>
      <c r="C18" s="7"/>
      <c r="D18" s="16">
        <f>+F4</f>
        <v>44253</v>
      </c>
      <c r="E18" s="7"/>
      <c r="F18" s="7"/>
      <c r="G18" s="9"/>
      <c r="H18" s="7"/>
      <c r="I18" s="7"/>
      <c r="J18" s="7"/>
      <c r="K18" s="7"/>
      <c r="L18" s="7"/>
      <c r="M18" s="29">
        <f>-F8*F9</f>
        <v>-6827</v>
      </c>
      <c r="N18" s="5"/>
      <c r="O18" s="27"/>
      <c r="P18" s="5"/>
      <c r="Q18" s="30">
        <f>(SUM(Q19:Q33))/F8</f>
        <v>68.270000225652069</v>
      </c>
      <c r="R18" s="31">
        <f>SUM(R19:R33)</f>
        <v>68.270000225652069</v>
      </c>
      <c r="S18" s="3">
        <v>0</v>
      </c>
    </row>
    <row r="19" spans="1:19" ht="19.5" customHeight="1">
      <c r="A19" s="21"/>
      <c r="B19" s="5"/>
      <c r="C19" s="7">
        <v>1</v>
      </c>
      <c r="D19" s="16">
        <f>+EDATE(D18,3)</f>
        <v>44342</v>
      </c>
      <c r="E19" s="10">
        <f t="shared" ref="E19:E31" si="0">+D19-$F$4</f>
        <v>89</v>
      </c>
      <c r="F19" s="10">
        <f>+D19-D18</f>
        <v>89</v>
      </c>
      <c r="G19" s="11">
        <f>+F8</f>
        <v>100</v>
      </c>
      <c r="H19" s="9">
        <f t="shared" ref="H19:H29" si="1">+I19*$F$8</f>
        <v>0</v>
      </c>
      <c r="I19" s="40">
        <v>0</v>
      </c>
      <c r="J19" s="13">
        <f>+$F$13</f>
        <v>0.03</v>
      </c>
      <c r="K19" s="178">
        <v>68.27</v>
      </c>
      <c r="L19" s="167">
        <f>+G19*K19*F19/$F$7*J19</f>
        <v>49.939972602739729</v>
      </c>
      <c r="M19" s="29">
        <f t="shared" ref="M19:M31" si="2">+L19+H19</f>
        <v>49.939972602739729</v>
      </c>
      <c r="N19" s="5"/>
      <c r="O19" s="27"/>
      <c r="P19" s="5"/>
      <c r="Q19" s="32">
        <f t="shared" ref="Q19:Q33" si="3">+M19/((1+$F$14)^(E19/$F$7))</f>
        <v>49.577344034949519</v>
      </c>
      <c r="R19" s="33">
        <f t="shared" ref="R19:R33" si="4">+Q19/$F$8</f>
        <v>0.49577344034949516</v>
      </c>
      <c r="S19" s="44">
        <f t="shared" ref="S19:S31" si="5">+M19</f>
        <v>49.939972602739729</v>
      </c>
    </row>
    <row r="20" spans="1:19" ht="19.5" customHeight="1">
      <c r="A20" s="21"/>
      <c r="B20" s="5"/>
      <c r="C20" s="7">
        <v>2</v>
      </c>
      <c r="D20" s="16">
        <f t="shared" ref="D20:D31" si="6">+EDATE(D19,3)</f>
        <v>44434</v>
      </c>
      <c r="E20" s="10">
        <f t="shared" si="0"/>
        <v>181</v>
      </c>
      <c r="F20" s="10">
        <f t="shared" ref="F20:F29" si="7">+D20-D19</f>
        <v>92</v>
      </c>
      <c r="G20" s="11">
        <f>+G19-H19</f>
        <v>100</v>
      </c>
      <c r="H20" s="9">
        <f t="shared" si="1"/>
        <v>0</v>
      </c>
      <c r="I20" s="12">
        <v>0</v>
      </c>
      <c r="J20" s="13">
        <f t="shared" ref="J20:J32" si="8">+$F$13</f>
        <v>0.03</v>
      </c>
      <c r="K20" s="178">
        <v>68.27</v>
      </c>
      <c r="L20" s="167">
        <f t="shared" ref="L20:L32" si="9">+G20*K20*F20/$F$7*J20</f>
        <v>51.623342465753424</v>
      </c>
      <c r="M20" s="29">
        <f t="shared" si="2"/>
        <v>51.623342465753424</v>
      </c>
      <c r="N20" s="5"/>
      <c r="O20" s="27"/>
      <c r="P20" s="5"/>
      <c r="Q20" s="32">
        <f t="shared" si="3"/>
        <v>50.863863845450467</v>
      </c>
      <c r="R20" s="33">
        <f t="shared" si="4"/>
        <v>0.50863863845450463</v>
      </c>
      <c r="S20" s="44">
        <f t="shared" si="5"/>
        <v>51.623342465753424</v>
      </c>
    </row>
    <row r="21" spans="1:19" ht="19.5" customHeight="1">
      <c r="A21" s="21"/>
      <c r="B21" s="5"/>
      <c r="C21" s="7">
        <v>3</v>
      </c>
      <c r="D21" s="16">
        <f t="shared" si="6"/>
        <v>44526</v>
      </c>
      <c r="E21" s="10">
        <f t="shared" si="0"/>
        <v>273</v>
      </c>
      <c r="F21" s="10">
        <f t="shared" si="7"/>
        <v>92</v>
      </c>
      <c r="G21" s="11">
        <f t="shared" ref="G21:G29" si="10">+G20-H20</f>
        <v>100</v>
      </c>
      <c r="H21" s="9">
        <f t="shared" si="1"/>
        <v>0</v>
      </c>
      <c r="I21" s="12">
        <v>0</v>
      </c>
      <c r="J21" s="13">
        <f t="shared" si="8"/>
        <v>0.03</v>
      </c>
      <c r="K21" s="178">
        <v>68.27</v>
      </c>
      <c r="L21" s="167">
        <f t="shared" si="9"/>
        <v>51.623342465753424</v>
      </c>
      <c r="M21" s="29">
        <f t="shared" si="2"/>
        <v>51.623342465753424</v>
      </c>
      <c r="N21" s="5"/>
      <c r="O21" s="27"/>
      <c r="P21" s="5"/>
      <c r="Q21" s="32">
        <f t="shared" si="3"/>
        <v>50.4821239008322</v>
      </c>
      <c r="R21" s="33">
        <f t="shared" si="4"/>
        <v>0.50482123900832199</v>
      </c>
      <c r="S21" s="44">
        <f t="shared" si="5"/>
        <v>51.623342465753424</v>
      </c>
    </row>
    <row r="22" spans="1:19" ht="19.5" customHeight="1">
      <c r="A22" s="21"/>
      <c r="B22" s="5"/>
      <c r="C22" s="7">
        <v>4</v>
      </c>
      <c r="D22" s="16">
        <f t="shared" si="6"/>
        <v>44618</v>
      </c>
      <c r="E22" s="10">
        <f t="shared" si="0"/>
        <v>365</v>
      </c>
      <c r="F22" s="10">
        <f t="shared" si="7"/>
        <v>92</v>
      </c>
      <c r="G22" s="11">
        <f t="shared" si="10"/>
        <v>100</v>
      </c>
      <c r="H22" s="9">
        <f t="shared" si="1"/>
        <v>0</v>
      </c>
      <c r="I22" s="12">
        <v>0</v>
      </c>
      <c r="J22" s="13">
        <f t="shared" si="8"/>
        <v>0.03</v>
      </c>
      <c r="K22" s="178">
        <v>68.27</v>
      </c>
      <c r="L22" s="167">
        <f t="shared" si="9"/>
        <v>51.623342465753424</v>
      </c>
      <c r="M22" s="29">
        <f t="shared" si="2"/>
        <v>51.623342465753424</v>
      </c>
      <c r="N22" s="5"/>
      <c r="O22" s="27"/>
      <c r="P22" s="5"/>
      <c r="Q22" s="32">
        <f t="shared" si="3"/>
        <v>50.103248964380825</v>
      </c>
      <c r="R22" s="33">
        <f t="shared" si="4"/>
        <v>0.5010324896438082</v>
      </c>
      <c r="S22" s="44">
        <f t="shared" si="5"/>
        <v>51.623342465753424</v>
      </c>
    </row>
    <row r="23" spans="1:19" ht="19.5" customHeight="1">
      <c r="A23" s="21"/>
      <c r="B23" s="5"/>
      <c r="C23" s="7">
        <v>5</v>
      </c>
      <c r="D23" s="16">
        <f t="shared" si="6"/>
        <v>44707</v>
      </c>
      <c r="E23" s="10">
        <f t="shared" si="0"/>
        <v>454</v>
      </c>
      <c r="F23" s="10">
        <f t="shared" si="7"/>
        <v>89</v>
      </c>
      <c r="G23" s="11">
        <f t="shared" si="10"/>
        <v>100</v>
      </c>
      <c r="H23" s="9">
        <f t="shared" si="1"/>
        <v>0</v>
      </c>
      <c r="I23" s="12">
        <v>0</v>
      </c>
      <c r="J23" s="13">
        <f t="shared" si="8"/>
        <v>0.03</v>
      </c>
      <c r="K23" s="178">
        <v>68.27</v>
      </c>
      <c r="L23" s="167">
        <f t="shared" si="9"/>
        <v>49.939972602739729</v>
      </c>
      <c r="M23" s="29">
        <f t="shared" si="2"/>
        <v>49.939972602739729</v>
      </c>
      <c r="N23" s="5"/>
      <c r="O23" s="27"/>
      <c r="P23" s="5"/>
      <c r="Q23" s="32">
        <f t="shared" si="3"/>
        <v>48.117496708464707</v>
      </c>
      <c r="R23" s="33">
        <f t="shared" si="4"/>
        <v>0.48117496708464708</v>
      </c>
      <c r="S23" s="44">
        <f t="shared" si="5"/>
        <v>49.939972602739729</v>
      </c>
    </row>
    <row r="24" spans="1:19" ht="19.5" customHeight="1">
      <c r="A24" s="21"/>
      <c r="B24" s="5"/>
      <c r="C24" s="7">
        <v>6</v>
      </c>
      <c r="D24" s="16">
        <f t="shared" si="6"/>
        <v>44799</v>
      </c>
      <c r="E24" s="10">
        <f t="shared" si="0"/>
        <v>546</v>
      </c>
      <c r="F24" s="10">
        <f t="shared" si="7"/>
        <v>92</v>
      </c>
      <c r="G24" s="11">
        <f t="shared" si="10"/>
        <v>100</v>
      </c>
      <c r="H24" s="9">
        <f t="shared" si="1"/>
        <v>0</v>
      </c>
      <c r="I24" s="12">
        <v>0</v>
      </c>
      <c r="J24" s="13">
        <f t="shared" si="8"/>
        <v>0.03</v>
      </c>
      <c r="K24" s="178">
        <v>68.27</v>
      </c>
      <c r="L24" s="167">
        <f t="shared" si="9"/>
        <v>51.623342465753424</v>
      </c>
      <c r="M24" s="29">
        <f t="shared" si="2"/>
        <v>51.623342465753424</v>
      </c>
      <c r="N24" s="5"/>
      <c r="O24" s="27"/>
      <c r="P24" s="5"/>
      <c r="Q24" s="32">
        <f t="shared" si="3"/>
        <v>49.366133842061743</v>
      </c>
      <c r="R24" s="33">
        <f t="shared" si="4"/>
        <v>0.49366133842061743</v>
      </c>
      <c r="S24" s="44">
        <f t="shared" si="5"/>
        <v>51.623342465753424</v>
      </c>
    </row>
    <row r="25" spans="1:19" ht="19.5" customHeight="1">
      <c r="A25" s="21"/>
      <c r="B25" s="5"/>
      <c r="C25" s="7">
        <v>7</v>
      </c>
      <c r="D25" s="16">
        <f t="shared" si="6"/>
        <v>44891</v>
      </c>
      <c r="E25" s="10">
        <f t="shared" si="0"/>
        <v>638</v>
      </c>
      <c r="F25" s="10">
        <f t="shared" si="7"/>
        <v>92</v>
      </c>
      <c r="G25" s="11">
        <f t="shared" si="10"/>
        <v>100</v>
      </c>
      <c r="H25" s="9">
        <f t="shared" si="1"/>
        <v>0</v>
      </c>
      <c r="I25" s="12">
        <v>0</v>
      </c>
      <c r="J25" s="13">
        <f t="shared" si="8"/>
        <v>0.03</v>
      </c>
      <c r="K25" s="178">
        <v>68.27</v>
      </c>
      <c r="L25" s="167">
        <f t="shared" si="9"/>
        <v>51.623342465753424</v>
      </c>
      <c r="M25" s="29">
        <f t="shared" si="2"/>
        <v>51.623342465753424</v>
      </c>
      <c r="N25" s="5"/>
      <c r="O25" s="27"/>
      <c r="P25" s="5"/>
      <c r="Q25" s="32">
        <f t="shared" si="3"/>
        <v>48.995634556829557</v>
      </c>
      <c r="R25" s="33">
        <f t="shared" si="4"/>
        <v>0.48995634556829559</v>
      </c>
      <c r="S25" s="44">
        <f t="shared" si="5"/>
        <v>51.623342465753424</v>
      </c>
    </row>
    <row r="26" spans="1:19" ht="19.5" customHeight="1">
      <c r="A26" s="21"/>
      <c r="B26" s="5"/>
      <c r="C26" s="7">
        <v>8</v>
      </c>
      <c r="D26" s="16">
        <f t="shared" si="6"/>
        <v>44983</v>
      </c>
      <c r="E26" s="10">
        <f t="shared" si="0"/>
        <v>730</v>
      </c>
      <c r="F26" s="10">
        <f t="shared" si="7"/>
        <v>92</v>
      </c>
      <c r="G26" s="11">
        <f t="shared" si="10"/>
        <v>100</v>
      </c>
      <c r="H26" s="9">
        <f t="shared" si="1"/>
        <v>0</v>
      </c>
      <c r="I26" s="12">
        <v>0</v>
      </c>
      <c r="J26" s="13">
        <f t="shared" si="8"/>
        <v>0.03</v>
      </c>
      <c r="K26" s="178">
        <v>68.27</v>
      </c>
      <c r="L26" s="167">
        <f t="shared" si="9"/>
        <v>51.623342465753424</v>
      </c>
      <c r="M26" s="29">
        <f t="shared" si="2"/>
        <v>51.623342465753424</v>
      </c>
      <c r="N26" s="5"/>
      <c r="O26" s="27"/>
      <c r="P26" s="5"/>
      <c r="Q26" s="32">
        <f t="shared" si="3"/>
        <v>48.627915917146751</v>
      </c>
      <c r="R26" s="33">
        <f t="shared" si="4"/>
        <v>0.48627915917146752</v>
      </c>
      <c r="S26" s="44">
        <f t="shared" si="5"/>
        <v>51.623342465753424</v>
      </c>
    </row>
    <row r="27" spans="1:19" ht="19.5" customHeight="1">
      <c r="A27" s="21"/>
      <c r="B27" s="5"/>
      <c r="C27" s="7">
        <v>9</v>
      </c>
      <c r="D27" s="16">
        <f t="shared" si="6"/>
        <v>45072</v>
      </c>
      <c r="E27" s="10">
        <f t="shared" si="0"/>
        <v>819</v>
      </c>
      <c r="F27" s="10">
        <f t="shared" si="7"/>
        <v>89</v>
      </c>
      <c r="G27" s="11">
        <f t="shared" si="10"/>
        <v>100</v>
      </c>
      <c r="H27" s="9">
        <f t="shared" si="1"/>
        <v>0</v>
      </c>
      <c r="I27" s="12">
        <v>0</v>
      </c>
      <c r="J27" s="13">
        <f t="shared" si="8"/>
        <v>0.03</v>
      </c>
      <c r="K27" s="178">
        <v>68.27</v>
      </c>
      <c r="L27" s="167">
        <f>+G27*K27*F27/$F$7*J27</f>
        <v>49.939972602739729</v>
      </c>
      <c r="M27" s="29">
        <f t="shared" si="2"/>
        <v>49.939972602739729</v>
      </c>
      <c r="N27" s="5"/>
      <c r="O27" s="27"/>
      <c r="P27" s="5"/>
      <c r="Q27" s="32">
        <f t="shared" si="3"/>
        <v>46.700635835936417</v>
      </c>
      <c r="R27" s="33">
        <f t="shared" si="4"/>
        <v>0.46700635835936416</v>
      </c>
      <c r="S27" s="44">
        <f t="shared" si="5"/>
        <v>49.939972602739729</v>
      </c>
    </row>
    <row r="28" spans="1:19" ht="19.5" customHeight="1">
      <c r="A28" s="21"/>
      <c r="B28" s="5"/>
      <c r="C28" s="7">
        <v>10</v>
      </c>
      <c r="D28" s="16">
        <f t="shared" si="6"/>
        <v>45164</v>
      </c>
      <c r="E28" s="10">
        <f t="shared" si="0"/>
        <v>911</v>
      </c>
      <c r="F28" s="10">
        <f t="shared" si="7"/>
        <v>92</v>
      </c>
      <c r="G28" s="11">
        <f t="shared" si="10"/>
        <v>100</v>
      </c>
      <c r="H28" s="9">
        <f t="shared" si="1"/>
        <v>0</v>
      </c>
      <c r="I28" s="12">
        <v>0</v>
      </c>
      <c r="J28" s="13">
        <f t="shared" si="8"/>
        <v>0.03</v>
      </c>
      <c r="K28" s="178">
        <v>68.27</v>
      </c>
      <c r="L28" s="167">
        <f t="shared" si="9"/>
        <v>51.623342465753424</v>
      </c>
      <c r="M28" s="29">
        <f t="shared" si="2"/>
        <v>51.623342465753424</v>
      </c>
      <c r="N28" s="5"/>
      <c r="O28" s="27"/>
      <c r="P28" s="5"/>
      <c r="Q28" s="32">
        <f t="shared" si="3"/>
        <v>47.912505780473332</v>
      </c>
      <c r="R28" s="33">
        <f t="shared" si="4"/>
        <v>0.4791250578047333</v>
      </c>
      <c r="S28" s="44">
        <f t="shared" si="5"/>
        <v>51.623342465753424</v>
      </c>
    </row>
    <row r="29" spans="1:19" ht="19.5" customHeight="1">
      <c r="A29" s="21"/>
      <c r="B29" s="5"/>
      <c r="C29" s="7">
        <v>11</v>
      </c>
      <c r="D29" s="16">
        <f t="shared" si="6"/>
        <v>45256</v>
      </c>
      <c r="E29" s="10">
        <f t="shared" si="0"/>
        <v>1003</v>
      </c>
      <c r="F29" s="10">
        <f t="shared" si="7"/>
        <v>92</v>
      </c>
      <c r="G29" s="11">
        <f t="shared" si="10"/>
        <v>100</v>
      </c>
      <c r="H29" s="9">
        <f t="shared" si="1"/>
        <v>0</v>
      </c>
      <c r="I29" s="12">
        <v>0</v>
      </c>
      <c r="J29" s="13">
        <f t="shared" si="8"/>
        <v>0.03</v>
      </c>
      <c r="K29" s="178">
        <v>68.27</v>
      </c>
      <c r="L29" s="167">
        <f t="shared" si="9"/>
        <v>51.623342465753424</v>
      </c>
      <c r="M29" s="29">
        <f t="shared" si="2"/>
        <v>51.623342465753424</v>
      </c>
      <c r="N29" s="5"/>
      <c r="O29" s="27"/>
      <c r="P29" s="5"/>
      <c r="Q29" s="32">
        <f t="shared" si="3"/>
        <v>47.552916163791153</v>
      </c>
      <c r="R29" s="33">
        <f t="shared" si="4"/>
        <v>0.47552916163791153</v>
      </c>
      <c r="S29" s="44">
        <f t="shared" si="5"/>
        <v>51.623342465753424</v>
      </c>
    </row>
    <row r="30" spans="1:19" ht="19.5" customHeight="1">
      <c r="A30" s="21"/>
      <c r="B30" s="5"/>
      <c r="C30" s="7">
        <v>12</v>
      </c>
      <c r="D30" s="16">
        <f t="shared" si="6"/>
        <v>45348</v>
      </c>
      <c r="E30" s="10">
        <f t="shared" si="0"/>
        <v>1095</v>
      </c>
      <c r="F30" s="10">
        <f t="shared" ref="F30:F31" si="11">+D30-D29</f>
        <v>92</v>
      </c>
      <c r="G30" s="11">
        <f t="shared" ref="G30:G31" si="12">+G29-H29</f>
        <v>100</v>
      </c>
      <c r="H30" s="9">
        <f t="shared" ref="H30:H32" si="13">+I30*$F$8</f>
        <v>0</v>
      </c>
      <c r="I30" s="12">
        <v>0</v>
      </c>
      <c r="J30" s="13">
        <f t="shared" si="8"/>
        <v>0.03</v>
      </c>
      <c r="K30" s="178">
        <v>68.27</v>
      </c>
      <c r="L30" s="167">
        <f t="shared" si="9"/>
        <v>51.623342465753424</v>
      </c>
      <c r="M30" s="29">
        <f t="shared" si="2"/>
        <v>51.623342465753424</v>
      </c>
      <c r="N30" s="5"/>
      <c r="O30" s="27"/>
      <c r="P30" s="5"/>
      <c r="Q30" s="32">
        <f t="shared" si="3"/>
        <v>47.196025314170292</v>
      </c>
      <c r="R30" s="33">
        <f t="shared" ref="R30:R31" si="14">+Q30/$F$8</f>
        <v>0.47196025314170292</v>
      </c>
      <c r="S30" s="44">
        <f t="shared" si="5"/>
        <v>51.623342465753424</v>
      </c>
    </row>
    <row r="31" spans="1:19" ht="19.5" customHeight="1">
      <c r="A31" s="21"/>
      <c r="B31" s="5"/>
      <c r="C31" s="7">
        <v>13</v>
      </c>
      <c r="D31" s="16">
        <f t="shared" si="6"/>
        <v>45438</v>
      </c>
      <c r="E31" s="10">
        <f t="shared" si="0"/>
        <v>1185</v>
      </c>
      <c r="F31" s="10">
        <f t="shared" si="11"/>
        <v>90</v>
      </c>
      <c r="G31" s="11">
        <f t="shared" si="12"/>
        <v>100</v>
      </c>
      <c r="H31" s="9">
        <f t="shared" si="13"/>
        <v>0</v>
      </c>
      <c r="I31" s="12">
        <v>0</v>
      </c>
      <c r="J31" s="13">
        <f t="shared" si="8"/>
        <v>0.03</v>
      </c>
      <c r="K31" s="178">
        <v>68.27</v>
      </c>
      <c r="L31" s="167">
        <f t="shared" si="9"/>
        <v>50.501095890410959</v>
      </c>
      <c r="M31" s="29">
        <f t="shared" si="2"/>
        <v>50.501095890410959</v>
      </c>
      <c r="N31" s="5"/>
      <c r="O31" s="27"/>
      <c r="P31" s="5"/>
      <c r="Q31" s="32">
        <f t="shared" si="3"/>
        <v>45.831017841935456</v>
      </c>
      <c r="R31" s="33">
        <f t="shared" si="14"/>
        <v>0.45831017841935456</v>
      </c>
      <c r="S31" s="44">
        <f t="shared" si="5"/>
        <v>50.501095890410959</v>
      </c>
    </row>
    <row r="32" spans="1:19" ht="19.5" customHeight="1">
      <c r="A32" s="21"/>
      <c r="B32" s="5"/>
      <c r="C32" s="7">
        <v>14</v>
      </c>
      <c r="D32" s="16">
        <f>+EDATE(D31,3)</f>
        <v>45530</v>
      </c>
      <c r="E32" s="10">
        <f t="shared" ref="E32" si="15">+D32-$F$4</f>
        <v>1277</v>
      </c>
      <c r="F32" s="10">
        <f>+D32-D31</f>
        <v>92</v>
      </c>
      <c r="G32" s="11">
        <f>+G31-H31</f>
        <v>100</v>
      </c>
      <c r="H32" s="9">
        <f t="shared" si="13"/>
        <v>100</v>
      </c>
      <c r="I32" s="12">
        <v>1</v>
      </c>
      <c r="J32" s="13">
        <f t="shared" si="8"/>
        <v>0.03</v>
      </c>
      <c r="K32" s="178">
        <v>68.27</v>
      </c>
      <c r="L32" s="167">
        <f t="shared" si="9"/>
        <v>51.623342465753424</v>
      </c>
      <c r="M32" s="29">
        <f>+L32+(H32*K32)</f>
        <v>6878.623342465753</v>
      </c>
      <c r="N32" s="5"/>
      <c r="O32" s="27"/>
      <c r="P32" s="5"/>
      <c r="Q32" s="32">
        <f t="shared" si="3"/>
        <v>6195.6731598587849</v>
      </c>
      <c r="R32" s="33">
        <f t="shared" ref="R32" si="16">+Q32/$F$8</f>
        <v>61.956731598587851</v>
      </c>
      <c r="S32" s="44">
        <f t="shared" ref="S32" si="17">+M32</f>
        <v>6878.623342465753</v>
      </c>
    </row>
    <row r="33" spans="1:19" ht="19.5" hidden="1" customHeight="1">
      <c r="A33" s="21"/>
      <c r="B33" s="5"/>
      <c r="C33" s="14"/>
      <c r="D33" s="34"/>
      <c r="E33" s="15"/>
      <c r="F33" s="15"/>
      <c r="G33" s="57"/>
      <c r="H33" s="38"/>
      <c r="I33" s="39"/>
      <c r="J33" s="58"/>
      <c r="K33" s="58"/>
      <c r="L33" s="59"/>
      <c r="M33" s="35"/>
      <c r="N33" s="60"/>
      <c r="O33" s="27"/>
      <c r="P33" s="5"/>
      <c r="Q33" s="32">
        <f t="shared" si="3"/>
        <v>0</v>
      </c>
      <c r="R33" s="33">
        <f t="shared" si="4"/>
        <v>0</v>
      </c>
      <c r="S33" s="44">
        <f>+M33</f>
        <v>0</v>
      </c>
    </row>
    <row r="34" spans="1:19" ht="19.5" customHeight="1">
      <c r="A34" s="21"/>
      <c r="B34" s="5"/>
      <c r="C34" s="7"/>
      <c r="D34" s="52"/>
      <c r="E34" s="17"/>
      <c r="F34" s="17">
        <f>+SUM(F18:F33)</f>
        <v>1277</v>
      </c>
      <c r="G34" s="53">
        <f>+G33-H33</f>
        <v>0</v>
      </c>
      <c r="H34" s="54">
        <f>+SUM(H19:H33)</f>
        <v>100</v>
      </c>
      <c r="I34" s="55">
        <f>+SUM(I19:I33)</f>
        <v>1</v>
      </c>
      <c r="J34" s="18"/>
      <c r="K34" s="18"/>
      <c r="L34" s="54">
        <f>+SUM(L19:L33)</f>
        <v>716.55443835616438</v>
      </c>
      <c r="M34" s="56"/>
      <c r="N34" s="5"/>
      <c r="O34" s="27"/>
      <c r="P34" s="5"/>
      <c r="Q34" s="36"/>
      <c r="R34" s="170">
        <f>SUM(R19:R33)</f>
        <v>68.270000225652069</v>
      </c>
    </row>
    <row r="35" spans="1:19" ht="8.25" customHeight="1" thickBot="1">
      <c r="A35" s="2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7"/>
      <c r="P35" s="5"/>
      <c r="Q35" s="36"/>
      <c r="R35" s="36"/>
    </row>
    <row r="36" spans="1:19" s="5" customFormat="1" ht="19.5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8"/>
    </row>
    <row r="37" spans="1:19" ht="19.5" customHeight="1">
      <c r="A37" s="86"/>
      <c r="B37" s="190" t="s">
        <v>28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2"/>
      <c r="O37" s="5"/>
    </row>
    <row r="38" spans="1:19" ht="19.5" customHeight="1">
      <c r="A38" s="85"/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5"/>
    </row>
    <row r="40" spans="1:19" ht="19.5" customHeight="1">
      <c r="E40" s="37"/>
    </row>
    <row r="41" spans="1:19" ht="19.5" customHeight="1">
      <c r="E41" s="37"/>
    </row>
    <row r="42" spans="1:19" ht="19.5" customHeight="1">
      <c r="E42" s="37"/>
    </row>
    <row r="43" spans="1:19" ht="19.5" customHeight="1">
      <c r="E43" s="37"/>
    </row>
    <row r="44" spans="1:19" ht="19.5" customHeight="1">
      <c r="E44" s="37"/>
    </row>
    <row r="45" spans="1:19" ht="19.5" customHeight="1">
      <c r="E45" s="37"/>
    </row>
  </sheetData>
  <sheetProtection algorithmName="SHA-512" hashValue="KUkzRIYp57bkxHO/iEuI6Q7YaziA2ypj0mLEUMN80tuXMyphDk7AIQyI0I2a9q0crRrDRWf04h3YrddYbVkJOg==" saltValue="OBHaGM+oiCIZwEanKLgjrA==" spinCount="100000" sheet="1" selectLockedCells="1"/>
  <protectedRanges>
    <protectedRange sqref="H8:H9" name="Rango1"/>
  </protectedRanges>
  <mergeCells count="7">
    <mergeCell ref="B1:N1"/>
    <mergeCell ref="B37:N38"/>
    <mergeCell ref="Q17:R17"/>
    <mergeCell ref="J2:L2"/>
    <mergeCell ref="L4:N4"/>
    <mergeCell ref="J6:L6"/>
    <mergeCell ref="D3:F3"/>
  </mergeCells>
  <pageMargins left="0.24" right="0.33" top="0.75" bottom="0.75" header="0.3" footer="0.3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9"/>
  <sheetViews>
    <sheetView workbookViewId="0">
      <selection activeCell="I9" sqref="I9"/>
    </sheetView>
  </sheetViews>
  <sheetFormatPr baseColWidth="10" defaultColWidth="10.83203125" defaultRowHeight="15"/>
  <cols>
    <col min="2" max="3" width="11.5" style="147"/>
    <col min="5" max="5" width="12" style="152" customWidth="1"/>
    <col min="7" max="7" width="16.6640625" bestFit="1" customWidth="1"/>
  </cols>
  <sheetData>
    <row r="1" spans="1:12">
      <c r="E1" s="148" t="s">
        <v>48</v>
      </c>
      <c r="H1" s="149"/>
    </row>
    <row r="2" spans="1:12">
      <c r="B2" s="150" t="s">
        <v>49</v>
      </c>
      <c r="C2" s="151" t="s">
        <v>54</v>
      </c>
      <c r="E2" s="152">
        <v>42363</v>
      </c>
      <c r="G2" s="153" t="s">
        <v>64</v>
      </c>
      <c r="H2" s="165">
        <f>+((H3*L3)+(H4*L4))/(L3+L4)</f>
        <v>65.996791766666675</v>
      </c>
      <c r="I2" s="149">
        <v>44180</v>
      </c>
      <c r="J2" s="154">
        <f>+WORKDAY(I2,-7,$E$2:$E$83)</f>
        <v>44167</v>
      </c>
      <c r="K2" s="155" t="str">
        <f>+CONCATENATE("&gt;=",J2)</f>
        <v>&gt;=44167</v>
      </c>
      <c r="L2" s="156"/>
    </row>
    <row r="3" spans="1:12">
      <c r="A3" s="157"/>
      <c r="B3" s="157">
        <v>44137</v>
      </c>
      <c r="C3" s="158">
        <v>60.16</v>
      </c>
      <c r="E3" s="152">
        <v>42369</v>
      </c>
      <c r="G3" t="s">
        <v>55</v>
      </c>
      <c r="H3" s="166">
        <f>+ROUND(AVERAGEIFS($C$3:$C$1562,$B$3:$B$1562,K2,$B$3:$B$1562,K4),6)</f>
        <v>65.364483000000007</v>
      </c>
      <c r="I3" s="149">
        <f>+YPF!J5</f>
        <v>44253</v>
      </c>
      <c r="L3" s="156">
        <f>+I3-I2</f>
        <v>73</v>
      </c>
    </row>
    <row r="4" spans="1:12">
      <c r="A4" s="157"/>
      <c r="B4" s="157">
        <v>44138</v>
      </c>
      <c r="C4" s="158">
        <v>60.32</v>
      </c>
      <c r="E4" s="152">
        <v>42370</v>
      </c>
      <c r="G4" t="s">
        <v>60</v>
      </c>
      <c r="H4" s="166">
        <f>+AVERAGE(C115:C119)</f>
        <v>68.712000000000003</v>
      </c>
      <c r="I4" s="149">
        <v>44270</v>
      </c>
      <c r="J4" s="154">
        <f>+WORKDAY(I4,-8,$E$2:$E$83)</f>
        <v>44258</v>
      </c>
      <c r="K4" s="155" t="str">
        <f>+CONCATENATE("&lt;=",J4)</f>
        <v>&lt;=44258</v>
      </c>
      <c r="L4" s="156">
        <f>+I4-I3</f>
        <v>17</v>
      </c>
    </row>
    <row r="5" spans="1:12">
      <c r="A5" s="157"/>
      <c r="B5" s="157">
        <v>44139</v>
      </c>
      <c r="C5" s="158">
        <v>60.38</v>
      </c>
      <c r="E5" s="152">
        <v>42408</v>
      </c>
      <c r="H5" s="149"/>
      <c r="K5" s="156"/>
    </row>
    <row r="6" spans="1:12">
      <c r="A6" s="157"/>
      <c r="B6" s="157">
        <v>44140</v>
      </c>
      <c r="C6" s="158">
        <v>60.43</v>
      </c>
      <c r="E6" s="152">
        <v>42409</v>
      </c>
      <c r="G6" t="s">
        <v>56</v>
      </c>
      <c r="H6" s="149"/>
      <c r="K6" s="156"/>
    </row>
    <row r="7" spans="1:12">
      <c r="A7" s="157"/>
      <c r="B7" s="157">
        <v>44141</v>
      </c>
      <c r="C7" s="158">
        <v>60.48</v>
      </c>
      <c r="E7" s="152">
        <v>42453</v>
      </c>
      <c r="G7" t="s">
        <v>57</v>
      </c>
      <c r="H7" s="149"/>
      <c r="K7" s="156"/>
    </row>
    <row r="8" spans="1:12">
      <c r="A8" s="157"/>
      <c r="B8" s="157">
        <v>44142</v>
      </c>
      <c r="C8" s="158">
        <v>60.48</v>
      </c>
      <c r="E8" s="152">
        <v>42454</v>
      </c>
      <c r="H8" s="149"/>
      <c r="K8" s="156"/>
    </row>
    <row r="9" spans="1:12">
      <c r="A9" s="157"/>
      <c r="B9" s="157">
        <v>44143</v>
      </c>
      <c r="C9" s="158">
        <v>60.48</v>
      </c>
      <c r="E9" s="152">
        <v>42456</v>
      </c>
      <c r="G9" t="s">
        <v>67</v>
      </c>
      <c r="H9" s="92">
        <v>89.438299999999998</v>
      </c>
      <c r="I9" s="177">
        <f>+AVERAGE(H9:H11)</f>
        <v>89.213333333333324</v>
      </c>
      <c r="K9" s="156"/>
    </row>
    <row r="10" spans="1:12">
      <c r="A10" s="157"/>
      <c r="B10" s="157">
        <v>44144</v>
      </c>
      <c r="C10" s="158">
        <v>60.48</v>
      </c>
      <c r="E10" s="152">
        <v>42462</v>
      </c>
      <c r="H10" s="92">
        <v>89.156700000000001</v>
      </c>
    </row>
    <row r="11" spans="1:12">
      <c r="A11" s="157"/>
      <c r="B11" s="157">
        <v>44145</v>
      </c>
      <c r="C11" s="158">
        <v>60.7</v>
      </c>
      <c r="E11" s="152">
        <v>42491</v>
      </c>
      <c r="H11" s="92">
        <v>89.045000000000002</v>
      </c>
    </row>
    <row r="12" spans="1:12">
      <c r="A12" s="157"/>
      <c r="B12" s="157">
        <v>44146</v>
      </c>
      <c r="C12" s="158">
        <v>60.75</v>
      </c>
      <c r="E12" s="152">
        <v>42515</v>
      </c>
      <c r="H12" s="92"/>
    </row>
    <row r="13" spans="1:12">
      <c r="A13" s="157"/>
      <c r="B13" s="157">
        <v>44147</v>
      </c>
      <c r="C13" s="158">
        <v>60.81</v>
      </c>
      <c r="E13" s="152">
        <v>42541</v>
      </c>
    </row>
    <row r="14" spans="1:12">
      <c r="A14" s="157"/>
      <c r="B14" s="157">
        <v>44148</v>
      </c>
      <c r="C14" s="158">
        <v>60.86</v>
      </c>
      <c r="E14" s="152">
        <v>42559</v>
      </c>
    </row>
    <row r="15" spans="1:12">
      <c r="A15" s="157"/>
      <c r="B15" s="157">
        <v>44149</v>
      </c>
      <c r="C15" s="158">
        <v>60.92</v>
      </c>
      <c r="E15" s="152">
        <v>42560</v>
      </c>
    </row>
    <row r="16" spans="1:12">
      <c r="A16" s="157"/>
      <c r="B16" s="157">
        <v>44150</v>
      </c>
      <c r="C16" s="158">
        <v>60.92</v>
      </c>
      <c r="E16" s="152">
        <v>42597</v>
      </c>
    </row>
    <row r="17" spans="1:5">
      <c r="A17" s="157"/>
      <c r="B17" s="157">
        <v>44151</v>
      </c>
      <c r="C17" s="158">
        <v>60.92</v>
      </c>
      <c r="E17" s="152">
        <v>42653</v>
      </c>
    </row>
    <row r="18" spans="1:5">
      <c r="A18" s="157"/>
      <c r="B18" s="157">
        <v>44152</v>
      </c>
      <c r="C18" s="158">
        <v>61.1</v>
      </c>
      <c r="E18" s="152">
        <v>42702</v>
      </c>
    </row>
    <row r="19" spans="1:5">
      <c r="A19" s="157"/>
      <c r="B19" s="157">
        <v>44153</v>
      </c>
      <c r="C19" s="158">
        <v>61.18</v>
      </c>
      <c r="E19" s="152">
        <v>42712</v>
      </c>
    </row>
    <row r="20" spans="1:5">
      <c r="A20" s="157"/>
      <c r="B20" s="157">
        <v>44154</v>
      </c>
      <c r="C20" s="158">
        <v>61.25</v>
      </c>
      <c r="E20" s="152">
        <v>42713</v>
      </c>
    </row>
    <row r="21" spans="1:5">
      <c r="A21" s="157"/>
      <c r="B21" s="157">
        <v>44155</v>
      </c>
      <c r="C21" s="158">
        <v>61.33</v>
      </c>
      <c r="E21" s="159">
        <v>42702</v>
      </c>
    </row>
    <row r="22" spans="1:5">
      <c r="A22" s="157"/>
      <c r="B22" s="157">
        <v>44156</v>
      </c>
      <c r="C22" s="158">
        <v>61.4</v>
      </c>
      <c r="E22" s="159">
        <v>42712</v>
      </c>
    </row>
    <row r="23" spans="1:5">
      <c r="A23" s="157"/>
      <c r="B23" s="157">
        <v>44157</v>
      </c>
      <c r="C23" s="158">
        <v>61.4</v>
      </c>
      <c r="E23" s="159">
        <v>42713</v>
      </c>
    </row>
    <row r="24" spans="1:5">
      <c r="A24" s="157"/>
      <c r="B24" s="157">
        <v>44158</v>
      </c>
      <c r="C24" s="158">
        <v>61.4</v>
      </c>
      <c r="E24" s="159">
        <v>42793</v>
      </c>
    </row>
    <row r="25" spans="1:5">
      <c r="A25" s="157"/>
      <c r="B25" s="157">
        <v>44159</v>
      </c>
      <c r="C25" s="158">
        <v>61.4</v>
      </c>
      <c r="E25" s="159">
        <v>42794</v>
      </c>
    </row>
    <row r="26" spans="1:5">
      <c r="A26" s="157"/>
      <c r="B26" s="157">
        <v>44160</v>
      </c>
      <c r="C26" s="158">
        <v>61.71</v>
      </c>
      <c r="E26" s="159">
        <v>42818</v>
      </c>
    </row>
    <row r="27" spans="1:5">
      <c r="A27" s="157"/>
      <c r="B27" s="157">
        <v>44161</v>
      </c>
      <c r="C27" s="158">
        <v>61.79</v>
      </c>
      <c r="E27" s="159">
        <v>42827</v>
      </c>
    </row>
    <row r="28" spans="1:5">
      <c r="A28" s="157"/>
      <c r="B28" s="157">
        <v>44162</v>
      </c>
      <c r="C28" s="158">
        <v>61.86</v>
      </c>
      <c r="E28" s="159">
        <v>42473</v>
      </c>
    </row>
    <row r="29" spans="1:5">
      <c r="A29" s="157"/>
      <c r="B29" s="157">
        <v>44163</v>
      </c>
      <c r="C29" s="158">
        <v>61.94</v>
      </c>
      <c r="E29" s="159">
        <v>42839</v>
      </c>
    </row>
    <row r="30" spans="1:5">
      <c r="A30" s="157"/>
      <c r="B30" s="157">
        <v>44164</v>
      </c>
      <c r="C30" s="158">
        <v>61.94</v>
      </c>
      <c r="E30" s="159">
        <v>42856</v>
      </c>
    </row>
    <row r="31" spans="1:5">
      <c r="A31" s="157"/>
      <c r="B31" s="157">
        <v>44165</v>
      </c>
      <c r="C31" s="158">
        <v>61.94</v>
      </c>
      <c r="E31" s="159">
        <v>42880</v>
      </c>
    </row>
    <row r="32" spans="1:5">
      <c r="A32" s="157"/>
      <c r="B32" s="157">
        <v>44166</v>
      </c>
      <c r="C32" s="158">
        <v>62.17</v>
      </c>
      <c r="E32" s="159">
        <v>42903</v>
      </c>
    </row>
    <row r="33" spans="1:5">
      <c r="A33" s="157"/>
      <c r="B33" s="157">
        <v>44167</v>
      </c>
      <c r="C33" s="158">
        <v>62.25</v>
      </c>
      <c r="E33" s="159">
        <v>42906</v>
      </c>
    </row>
    <row r="34" spans="1:5">
      <c r="A34" s="157"/>
      <c r="B34" s="157">
        <v>44168</v>
      </c>
      <c r="C34" s="158">
        <v>62.33</v>
      </c>
      <c r="E34" s="159">
        <v>42925</v>
      </c>
    </row>
    <row r="35" spans="1:5">
      <c r="A35" s="157"/>
      <c r="B35" s="157">
        <v>44169</v>
      </c>
      <c r="C35" s="158">
        <v>62.41</v>
      </c>
      <c r="E35" s="159">
        <v>42968</v>
      </c>
    </row>
    <row r="36" spans="1:5">
      <c r="A36" s="157"/>
      <c r="B36" s="157">
        <v>44170</v>
      </c>
      <c r="C36" s="158">
        <v>62.48</v>
      </c>
      <c r="E36" s="159">
        <v>43024</v>
      </c>
    </row>
    <row r="37" spans="1:5">
      <c r="A37" s="157"/>
      <c r="B37" s="157">
        <v>44171</v>
      </c>
      <c r="C37" s="158">
        <v>62.48</v>
      </c>
      <c r="E37" s="159">
        <v>43059</v>
      </c>
    </row>
    <row r="38" spans="1:5">
      <c r="A38" s="157"/>
      <c r="B38" s="157">
        <v>44172</v>
      </c>
      <c r="C38" s="158">
        <v>62.48</v>
      </c>
      <c r="E38" s="159">
        <v>43077</v>
      </c>
    </row>
    <row r="39" spans="1:5">
      <c r="A39" s="157"/>
      <c r="B39" s="157">
        <v>44173</v>
      </c>
      <c r="C39" s="158">
        <v>62.48</v>
      </c>
      <c r="E39" s="159">
        <v>43094</v>
      </c>
    </row>
    <row r="40" spans="1:5">
      <c r="A40" s="157"/>
      <c r="B40" s="157">
        <v>44174</v>
      </c>
      <c r="C40" s="158">
        <v>62.48</v>
      </c>
      <c r="E40" s="159">
        <v>43143</v>
      </c>
    </row>
    <row r="41" spans="1:5">
      <c r="A41" s="157"/>
      <c r="B41" s="157">
        <v>44175</v>
      </c>
      <c r="C41" s="158">
        <v>62.87</v>
      </c>
      <c r="E41" s="159">
        <v>43144</v>
      </c>
    </row>
    <row r="42" spans="1:5">
      <c r="A42" s="157"/>
      <c r="B42" s="157">
        <v>44176</v>
      </c>
      <c r="C42" s="158">
        <v>62.95</v>
      </c>
      <c r="E42" s="159">
        <v>43188</v>
      </c>
    </row>
    <row r="43" spans="1:5">
      <c r="A43" s="157"/>
      <c r="B43" s="157">
        <v>44177</v>
      </c>
      <c r="C43" s="158">
        <v>63.03</v>
      </c>
      <c r="E43" s="159">
        <v>43189</v>
      </c>
    </row>
    <row r="44" spans="1:5">
      <c r="A44" s="157"/>
      <c r="B44" s="157">
        <v>44178</v>
      </c>
      <c r="C44" s="158">
        <v>63.03</v>
      </c>
      <c r="E44" s="159">
        <v>43192</v>
      </c>
    </row>
    <row r="45" spans="1:5">
      <c r="A45" s="157"/>
      <c r="B45" s="157">
        <v>44179</v>
      </c>
      <c r="C45" s="158">
        <v>63.03</v>
      </c>
      <c r="E45" s="159">
        <v>43220</v>
      </c>
    </row>
    <row r="46" spans="1:5">
      <c r="A46" s="157"/>
      <c r="B46" s="157">
        <v>44180</v>
      </c>
      <c r="C46" s="158">
        <v>63.26</v>
      </c>
      <c r="E46" s="159">
        <v>43221</v>
      </c>
    </row>
    <row r="47" spans="1:5">
      <c r="A47" s="157"/>
      <c r="B47" s="157">
        <v>44181</v>
      </c>
      <c r="C47" s="158">
        <v>63.34</v>
      </c>
      <c r="E47" s="159">
        <v>43245</v>
      </c>
    </row>
    <row r="48" spans="1:5">
      <c r="A48" s="157"/>
      <c r="B48" s="157">
        <v>44182</v>
      </c>
      <c r="C48" s="158">
        <v>63.41</v>
      </c>
      <c r="E48" s="159">
        <v>43271</v>
      </c>
    </row>
    <row r="49" spans="1:7">
      <c r="A49" s="157"/>
      <c r="B49" s="157">
        <v>44183</v>
      </c>
      <c r="C49" s="158">
        <v>63.47</v>
      </c>
      <c r="E49" s="159">
        <v>43290</v>
      </c>
    </row>
    <row r="50" spans="1:7">
      <c r="A50" s="157"/>
      <c r="B50" s="157">
        <v>44184</v>
      </c>
      <c r="C50" s="158">
        <v>63.54</v>
      </c>
      <c r="E50" s="159">
        <v>43332</v>
      </c>
    </row>
    <row r="51" spans="1:7">
      <c r="A51" s="157"/>
      <c r="B51" s="157">
        <v>44185</v>
      </c>
      <c r="C51" s="158">
        <v>63.54</v>
      </c>
      <c r="E51" s="159">
        <v>43388</v>
      </c>
    </row>
    <row r="52" spans="1:7">
      <c r="A52" s="157"/>
      <c r="B52" s="157">
        <v>44186</v>
      </c>
      <c r="C52" s="158">
        <v>63.54</v>
      </c>
      <c r="E52" s="159">
        <v>43410</v>
      </c>
    </row>
    <row r="53" spans="1:7">
      <c r="A53" s="157"/>
      <c r="B53" s="157">
        <v>44187</v>
      </c>
      <c r="C53" s="158">
        <v>63.73</v>
      </c>
      <c r="E53" s="159">
        <v>43423</v>
      </c>
    </row>
    <row r="54" spans="1:7">
      <c r="A54" s="157"/>
      <c r="B54" s="157">
        <v>44188</v>
      </c>
      <c r="C54" s="158">
        <v>63.8</v>
      </c>
      <c r="E54" s="159">
        <v>43458</v>
      </c>
    </row>
    <row r="55" spans="1:7">
      <c r="A55" s="157"/>
      <c r="B55" s="157">
        <v>44189</v>
      </c>
      <c r="C55" s="158">
        <v>63.86</v>
      </c>
      <c r="E55" s="159">
        <v>43459</v>
      </c>
    </row>
    <row r="56" spans="1:7">
      <c r="A56" s="157"/>
      <c r="B56" s="157">
        <v>44190</v>
      </c>
      <c r="C56" s="158">
        <v>63.93</v>
      </c>
      <c r="E56" s="159">
        <v>43465</v>
      </c>
    </row>
    <row r="57" spans="1:7">
      <c r="A57" s="157"/>
      <c r="B57" s="157">
        <v>44191</v>
      </c>
      <c r="C57" s="158">
        <v>63.93</v>
      </c>
      <c r="E57" s="159">
        <v>43466</v>
      </c>
    </row>
    <row r="58" spans="1:7">
      <c r="A58" s="157"/>
      <c r="B58" s="157">
        <v>44192</v>
      </c>
      <c r="C58" s="158">
        <v>63.93</v>
      </c>
      <c r="E58" s="159">
        <v>43528</v>
      </c>
    </row>
    <row r="59" spans="1:7">
      <c r="A59" s="157"/>
      <c r="B59" s="157">
        <v>44193</v>
      </c>
      <c r="C59" s="158">
        <v>63.93</v>
      </c>
      <c r="E59" s="159">
        <v>43529</v>
      </c>
      <c r="G59" s="157"/>
    </row>
    <row r="60" spans="1:7">
      <c r="A60" s="157"/>
      <c r="B60" s="157">
        <v>44194</v>
      </c>
      <c r="C60" s="158">
        <v>64.19</v>
      </c>
      <c r="E60" s="159">
        <v>43548</v>
      </c>
      <c r="G60" s="157"/>
    </row>
    <row r="61" spans="1:7">
      <c r="A61" s="157"/>
      <c r="B61" s="157">
        <v>44195</v>
      </c>
      <c r="C61" s="158">
        <v>64.25</v>
      </c>
      <c r="E61" s="159">
        <v>43557</v>
      </c>
      <c r="G61" s="157"/>
    </row>
    <row r="62" spans="1:7">
      <c r="A62" s="157"/>
      <c r="B62" s="157">
        <v>44196</v>
      </c>
      <c r="C62" s="158">
        <v>64.319999999999993</v>
      </c>
      <c r="E62" s="159">
        <v>43574</v>
      </c>
    </row>
    <row r="63" spans="1:7">
      <c r="A63" s="157"/>
      <c r="B63" s="157">
        <v>44197</v>
      </c>
      <c r="C63" s="160">
        <v>64.38</v>
      </c>
      <c r="E63" s="159">
        <v>43586</v>
      </c>
    </row>
    <row r="64" spans="1:7">
      <c r="A64" s="157"/>
      <c r="B64" s="157">
        <v>44198</v>
      </c>
      <c r="C64" s="160">
        <v>64.38</v>
      </c>
      <c r="E64" s="159">
        <v>43610</v>
      </c>
    </row>
    <row r="65" spans="1:5">
      <c r="A65" s="157"/>
      <c r="B65" s="157">
        <v>44199</v>
      </c>
      <c r="C65" s="160">
        <v>64.38</v>
      </c>
      <c r="E65" s="159">
        <v>43636</v>
      </c>
    </row>
    <row r="66" spans="1:5">
      <c r="A66" s="157"/>
      <c r="B66" s="157">
        <v>44200</v>
      </c>
      <c r="C66" s="160">
        <v>64.38</v>
      </c>
      <c r="E66" s="159">
        <v>43655</v>
      </c>
    </row>
    <row r="67" spans="1:5">
      <c r="A67" s="157"/>
      <c r="B67" s="157">
        <v>44201</v>
      </c>
      <c r="C67" s="160">
        <v>64.64</v>
      </c>
      <c r="E67" s="159">
        <v>43775</v>
      </c>
    </row>
    <row r="68" spans="1:5">
      <c r="A68" s="157"/>
      <c r="B68" s="157">
        <v>44202</v>
      </c>
      <c r="C68" s="160">
        <v>64.709999999999994</v>
      </c>
      <c r="E68" s="159">
        <v>43807</v>
      </c>
    </row>
    <row r="69" spans="1:5">
      <c r="A69" s="157"/>
      <c r="B69" s="157">
        <v>44203</v>
      </c>
      <c r="C69" s="161">
        <v>64.78</v>
      </c>
      <c r="E69" s="159">
        <v>43824</v>
      </c>
    </row>
    <row r="70" spans="1:5">
      <c r="B70" s="163">
        <v>44204</v>
      </c>
      <c r="C70" s="147">
        <v>64.84</v>
      </c>
      <c r="E70" s="159">
        <v>43831</v>
      </c>
    </row>
    <row r="71" spans="1:5">
      <c r="B71" s="163">
        <v>44205</v>
      </c>
      <c r="C71" s="147">
        <v>64.91</v>
      </c>
      <c r="E71" s="152">
        <v>44021</v>
      </c>
    </row>
    <row r="72" spans="1:5">
      <c r="B72" s="163">
        <v>44206</v>
      </c>
      <c r="C72" s="147">
        <v>64.91</v>
      </c>
      <c r="E72" s="152">
        <v>44022</v>
      </c>
    </row>
    <row r="73" spans="1:5">
      <c r="B73" s="163">
        <v>44207</v>
      </c>
      <c r="C73" s="147">
        <v>64.91</v>
      </c>
      <c r="E73" s="152">
        <v>44141</v>
      </c>
    </row>
    <row r="74" spans="1:5">
      <c r="B74" s="163">
        <v>44208</v>
      </c>
      <c r="C74" s="147">
        <v>65.11</v>
      </c>
      <c r="E74" s="152">
        <v>44158</v>
      </c>
    </row>
    <row r="75" spans="1:5">
      <c r="B75" s="163">
        <v>44209</v>
      </c>
      <c r="C75" s="147">
        <v>65.17</v>
      </c>
      <c r="E75" s="152">
        <v>44172</v>
      </c>
    </row>
    <row r="76" spans="1:5">
      <c r="B76" s="163">
        <v>44210</v>
      </c>
      <c r="C76" s="147">
        <v>65.239999999999995</v>
      </c>
      <c r="E76" s="152">
        <v>44173</v>
      </c>
    </row>
    <row r="77" spans="1:5">
      <c r="B77" s="163">
        <v>44211</v>
      </c>
      <c r="C77" s="147">
        <v>65.3</v>
      </c>
      <c r="E77" s="152">
        <v>44189</v>
      </c>
    </row>
    <row r="78" spans="1:5">
      <c r="B78" s="163">
        <v>44212</v>
      </c>
      <c r="C78" s="147">
        <v>65.37</v>
      </c>
      <c r="E78" s="152">
        <v>44190</v>
      </c>
    </row>
    <row r="79" spans="1:5">
      <c r="B79" s="163">
        <v>44213</v>
      </c>
      <c r="C79" s="147">
        <v>65.37</v>
      </c>
      <c r="E79" s="152">
        <v>44196</v>
      </c>
    </row>
    <row r="80" spans="1:5">
      <c r="B80" s="163">
        <v>44214</v>
      </c>
      <c r="C80" s="147">
        <v>65.37</v>
      </c>
      <c r="E80" s="152">
        <v>44197</v>
      </c>
    </row>
    <row r="81" spans="2:5">
      <c r="B81" s="163">
        <v>44215</v>
      </c>
      <c r="C81" s="147">
        <v>65.62</v>
      </c>
      <c r="E81" s="152">
        <v>44279</v>
      </c>
    </row>
    <row r="82" spans="2:5">
      <c r="B82" s="163">
        <v>44216</v>
      </c>
      <c r="C82" s="147">
        <v>65.7</v>
      </c>
      <c r="E82" s="152">
        <v>44288</v>
      </c>
    </row>
    <row r="83" spans="2:5">
      <c r="B83" s="163">
        <v>44217</v>
      </c>
      <c r="C83" s="147">
        <v>65.790000000000006</v>
      </c>
      <c r="E83" s="152">
        <v>44341</v>
      </c>
    </row>
    <row r="84" spans="2:5">
      <c r="B84" s="163">
        <v>44218</v>
      </c>
      <c r="C84" s="147">
        <v>65.87</v>
      </c>
    </row>
    <row r="85" spans="2:5">
      <c r="B85" s="163">
        <v>44219</v>
      </c>
      <c r="C85" s="147">
        <v>65.95</v>
      </c>
    </row>
    <row r="86" spans="2:5">
      <c r="B86" s="163">
        <v>44220</v>
      </c>
      <c r="C86" s="147">
        <v>65.95</v>
      </c>
    </row>
    <row r="87" spans="2:5">
      <c r="B87" s="163">
        <v>44221</v>
      </c>
      <c r="C87" s="147">
        <v>65.95</v>
      </c>
    </row>
    <row r="88" spans="2:5">
      <c r="B88" s="163">
        <v>44222</v>
      </c>
      <c r="C88" s="147">
        <v>66.2</v>
      </c>
    </row>
    <row r="89" spans="2:5">
      <c r="B89" s="163">
        <v>44223</v>
      </c>
      <c r="C89" s="147">
        <v>66.290000000000006</v>
      </c>
    </row>
    <row r="90" spans="2:5">
      <c r="B90" s="163">
        <v>44224</v>
      </c>
      <c r="C90" s="147">
        <v>66.37</v>
      </c>
    </row>
    <row r="91" spans="2:5">
      <c r="B91" s="163">
        <v>44225</v>
      </c>
      <c r="C91" s="147">
        <v>66.45</v>
      </c>
    </row>
    <row r="92" spans="2:5">
      <c r="B92" s="163">
        <v>44226</v>
      </c>
      <c r="C92" s="147">
        <v>66.540000000000006</v>
      </c>
    </row>
    <row r="93" spans="2:5">
      <c r="B93" s="163">
        <v>44227</v>
      </c>
      <c r="C93" s="147">
        <v>66.540000000000006</v>
      </c>
    </row>
    <row r="94" spans="2:5">
      <c r="B94" s="163">
        <v>44228</v>
      </c>
      <c r="C94" s="147">
        <v>66.540000000000006</v>
      </c>
    </row>
    <row r="95" spans="2:5">
      <c r="B95" s="163">
        <v>44229</v>
      </c>
      <c r="C95" s="147">
        <v>66.790000000000006</v>
      </c>
    </row>
    <row r="96" spans="2:5">
      <c r="B96" s="163">
        <v>44230</v>
      </c>
      <c r="C96" s="147">
        <v>66.88</v>
      </c>
    </row>
    <row r="97" spans="2:3">
      <c r="B97" s="163">
        <v>44231</v>
      </c>
      <c r="C97" s="147">
        <v>66.959999999999994</v>
      </c>
    </row>
    <row r="98" spans="2:3">
      <c r="B98" s="163">
        <v>44232</v>
      </c>
      <c r="C98" s="147">
        <v>67.05</v>
      </c>
    </row>
    <row r="99" spans="2:3">
      <c r="B99" s="163">
        <v>44233</v>
      </c>
      <c r="C99" s="147">
        <v>67.13</v>
      </c>
    </row>
    <row r="100" spans="2:3">
      <c r="B100" s="163">
        <v>44234</v>
      </c>
      <c r="C100" s="147">
        <v>67.13</v>
      </c>
    </row>
    <row r="101" spans="2:3">
      <c r="B101" s="163">
        <v>44235</v>
      </c>
      <c r="C101" s="147">
        <v>67.13</v>
      </c>
    </row>
    <row r="102" spans="2:3">
      <c r="B102" s="163">
        <v>44236</v>
      </c>
      <c r="C102" s="147">
        <v>67.39</v>
      </c>
    </row>
    <row r="103" spans="2:3">
      <c r="B103" s="163">
        <v>44237</v>
      </c>
      <c r="C103" s="147">
        <v>67.47</v>
      </c>
    </row>
    <row r="104" spans="2:3">
      <c r="B104" s="163">
        <v>44238</v>
      </c>
      <c r="C104" s="147">
        <v>67.56</v>
      </c>
    </row>
    <row r="105" spans="2:3">
      <c r="B105" s="163">
        <v>44239</v>
      </c>
      <c r="C105" s="147">
        <v>67.64</v>
      </c>
    </row>
    <row r="106" spans="2:3">
      <c r="B106" s="163">
        <v>44240</v>
      </c>
      <c r="C106" s="147">
        <v>67.73</v>
      </c>
    </row>
    <row r="107" spans="2:3">
      <c r="B107" s="163">
        <v>44241</v>
      </c>
      <c r="C107" s="147">
        <v>67.73</v>
      </c>
    </row>
    <row r="108" spans="2:3">
      <c r="B108" s="163">
        <v>44242</v>
      </c>
      <c r="C108" s="147">
        <v>67.73</v>
      </c>
    </row>
    <row r="109" spans="2:3">
      <c r="B109" s="163">
        <v>44243</v>
      </c>
      <c r="C109" s="147">
        <v>67.73</v>
      </c>
    </row>
    <row r="110" spans="2:3">
      <c r="B110" s="163">
        <v>44244</v>
      </c>
      <c r="C110" s="147">
        <v>67.73</v>
      </c>
    </row>
    <row r="111" spans="2:3">
      <c r="B111" s="163">
        <v>44245</v>
      </c>
      <c r="C111" s="147">
        <v>68.180000000000007</v>
      </c>
    </row>
    <row r="112" spans="2:3">
      <c r="B112" s="163">
        <v>44246</v>
      </c>
      <c r="C112" s="147">
        <v>68.27</v>
      </c>
    </row>
    <row r="113" spans="2:3">
      <c r="B113" s="163">
        <v>44247</v>
      </c>
      <c r="C113" s="147">
        <v>68.37</v>
      </c>
    </row>
    <row r="114" spans="2:3">
      <c r="B114" s="163">
        <v>44248</v>
      </c>
      <c r="C114" s="147">
        <v>68.37</v>
      </c>
    </row>
    <row r="115" spans="2:3">
      <c r="B115" s="163">
        <v>44249</v>
      </c>
      <c r="C115" s="147">
        <v>68.37</v>
      </c>
    </row>
    <row r="116" spans="2:3">
      <c r="B116" s="163">
        <v>44250</v>
      </c>
      <c r="C116" s="147">
        <v>68.650000000000006</v>
      </c>
    </row>
    <row r="117" spans="2:3">
      <c r="B117" s="163">
        <v>44251</v>
      </c>
      <c r="C117" s="147">
        <v>68.75</v>
      </c>
    </row>
    <row r="118" spans="2:3">
      <c r="B118" s="163">
        <v>44252</v>
      </c>
      <c r="C118" s="147">
        <v>68.849999999999994</v>
      </c>
    </row>
    <row r="119" spans="2:3">
      <c r="B119" s="163">
        <v>44253</v>
      </c>
      <c r="C119" s="147">
        <v>68.94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YPF</vt:lpstr>
      <vt:lpstr>Clase XIV USD Linked (Reap.)</vt:lpstr>
      <vt:lpstr>Clase XIX UVA</vt:lpstr>
      <vt:lpstr>UVA</vt:lpstr>
      <vt:lpstr>'Clase XIV USD Linked (Reap.)'!_DV_M3</vt:lpstr>
      <vt:lpstr>'Clase XIX UVA'!_DV_M3</vt:lpstr>
      <vt:lpstr>'Clase XIV USD Linked (Reap.)'!Área_de_impresión</vt:lpstr>
      <vt:lpstr>'Clase XIX UVA'!Área_de_impresión</vt:lpstr>
    </vt:vector>
  </TitlesOfParts>
  <Company>Banco Itau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Ponieman</dc:creator>
  <cp:lastModifiedBy>Microsoft Office User</cp:lastModifiedBy>
  <cp:lastPrinted>2012-07-11T16:27:23Z</cp:lastPrinted>
  <dcterms:created xsi:type="dcterms:W3CDTF">2012-05-11T18:43:00Z</dcterms:created>
  <dcterms:modified xsi:type="dcterms:W3CDTF">2021-02-23T14:51:02Z</dcterms:modified>
</cp:coreProperties>
</file>