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ba.usr.bpba\files\1296BancadeInversion\EMISIONES\YPF\YPF Clase XX - Julio 2021\"/>
    </mc:Choice>
  </mc:AlternateContent>
  <bookViews>
    <workbookView xWindow="0" yWindow="0" windowWidth="28800" windowHeight="13290" tabRatio="542"/>
  </bookViews>
  <sheets>
    <sheet name="YPF" sheetId="15" r:id="rId1"/>
    <sheet name="Clase XX" sheetId="25" r:id="rId2"/>
  </sheets>
  <definedNames>
    <definedName name="_xlnm.Print_Area" localSheetId="0">YPF!$A$1:$G$40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5" l="1"/>
  <c r="D28" i="15"/>
  <c r="D27" i="15"/>
  <c r="E14" i="15" l="1"/>
  <c r="F6" i="25" l="1"/>
  <c r="F27" i="15"/>
  <c r="C29" i="15" l="1"/>
  <c r="C28" i="15"/>
  <c r="C27" i="15"/>
  <c r="M7" i="25"/>
  <c r="I4" i="25"/>
  <c r="S7" i="25" l="1"/>
  <c r="U7" i="25"/>
  <c r="T7" i="25"/>
  <c r="M16" i="25"/>
  <c r="E27" i="15"/>
  <c r="G27" i="15" s="1"/>
  <c r="L4" i="25"/>
  <c r="M26" i="25"/>
  <c r="M22" i="25"/>
  <c r="M18" i="25"/>
  <c r="M15" i="25"/>
  <c r="M25" i="25"/>
  <c r="M21" i="25"/>
  <c r="M17" i="25"/>
  <c r="M28" i="25"/>
  <c r="M24" i="25"/>
  <c r="M20" i="25"/>
  <c r="M27" i="25"/>
  <c r="M23" i="25"/>
  <c r="M19" i="25"/>
  <c r="S21" i="25" l="1"/>
  <c r="V21" i="25" s="1"/>
  <c r="T21" i="25"/>
  <c r="W21" i="25" s="1"/>
  <c r="U21" i="25"/>
  <c r="X21" i="25" s="1"/>
  <c r="U16" i="25"/>
  <c r="X16" i="25" s="1"/>
  <c r="S16" i="25"/>
  <c r="V16" i="25" s="1"/>
  <c r="T16" i="25"/>
  <c r="W16" i="25" s="1"/>
  <c r="U24" i="25"/>
  <c r="X24" i="25" s="1"/>
  <c r="S24" i="25"/>
  <c r="V24" i="25" s="1"/>
  <c r="T24" i="25"/>
  <c r="W24" i="25" s="1"/>
  <c r="U26" i="25"/>
  <c r="X26" i="25" s="1"/>
  <c r="S26" i="25"/>
  <c r="V26" i="25" s="1"/>
  <c r="T26" i="25"/>
  <c r="W26" i="25" s="1"/>
  <c r="T23" i="25"/>
  <c r="W23" i="25" s="1"/>
  <c r="U23" i="25"/>
  <c r="X23" i="25" s="1"/>
  <c r="S23" i="25"/>
  <c r="V23" i="25" s="1"/>
  <c r="T15" i="25"/>
  <c r="W15" i="25" s="1"/>
  <c r="U15" i="25"/>
  <c r="X15" i="25" s="1"/>
  <c r="S15" i="25"/>
  <c r="V15" i="25" s="1"/>
  <c r="U20" i="25"/>
  <c r="X20" i="25" s="1"/>
  <c r="T20" i="25"/>
  <c r="W20" i="25" s="1"/>
  <c r="S20" i="25"/>
  <c r="V20" i="25" s="1"/>
  <c r="U22" i="25"/>
  <c r="X22" i="25" s="1"/>
  <c r="S22" i="25"/>
  <c r="V22" i="25" s="1"/>
  <c r="T22" i="25"/>
  <c r="W22" i="25" s="1"/>
  <c r="T19" i="25"/>
  <c r="W19" i="25" s="1"/>
  <c r="U19" i="25"/>
  <c r="X19" i="25" s="1"/>
  <c r="S19" i="25"/>
  <c r="V19" i="25" s="1"/>
  <c r="S25" i="25"/>
  <c r="V25" i="25" s="1"/>
  <c r="T25" i="25"/>
  <c r="W25" i="25" s="1"/>
  <c r="U25" i="25"/>
  <c r="X25" i="25" s="1"/>
  <c r="U28" i="25"/>
  <c r="X28" i="25" s="1"/>
  <c r="T28" i="25"/>
  <c r="W28" i="25" s="1"/>
  <c r="S28" i="25"/>
  <c r="V28" i="25" s="1"/>
  <c r="T27" i="25"/>
  <c r="W27" i="25" s="1"/>
  <c r="U27" i="25"/>
  <c r="X27" i="25" s="1"/>
  <c r="S27" i="25"/>
  <c r="V27" i="25" s="1"/>
  <c r="S17" i="25"/>
  <c r="V17" i="25" s="1"/>
  <c r="T17" i="25"/>
  <c r="W17" i="25" s="1"/>
  <c r="U17" i="25"/>
  <c r="X17" i="25" s="1"/>
  <c r="U18" i="25"/>
  <c r="X18" i="25" s="1"/>
  <c r="S18" i="25"/>
  <c r="V18" i="25" s="1"/>
  <c r="T18" i="25"/>
  <c r="W18" i="25" s="1"/>
  <c r="D11" i="25"/>
  <c r="D12" i="25" s="1"/>
  <c r="D13" i="25" s="1"/>
  <c r="D14" i="25" s="1"/>
  <c r="D15" i="25" s="1"/>
  <c r="D16" i="25" s="1"/>
  <c r="D17" i="25" s="1"/>
  <c r="D18" i="25" s="1"/>
  <c r="D19" i="25" s="1"/>
  <c r="D20" i="25" s="1"/>
  <c r="D21" i="25" s="1"/>
  <c r="D22" i="25" s="1"/>
  <c r="D23" i="25" s="1"/>
  <c r="D24" i="25" s="1"/>
  <c r="D25" i="25" s="1"/>
  <c r="D26" i="25" s="1"/>
  <c r="D27" i="25" s="1"/>
  <c r="D28" i="25" s="1"/>
  <c r="E9" i="15" l="1"/>
  <c r="C3" i="25" l="1"/>
  <c r="H29" i="25" l="1"/>
  <c r="C8" i="25"/>
  <c r="A2" i="25"/>
  <c r="G5" i="25" l="1"/>
  <c r="G6" i="25"/>
  <c r="G4" i="25"/>
  <c r="M29" i="25"/>
  <c r="G13" i="25"/>
  <c r="G12" i="25"/>
  <c r="G14" i="25"/>
  <c r="G26" i="25"/>
  <c r="G18" i="25"/>
  <c r="G23" i="25"/>
  <c r="G15" i="25"/>
  <c r="G22" i="25"/>
  <c r="G28" i="25"/>
  <c r="G25" i="25"/>
  <c r="G19" i="25"/>
  <c r="G11" i="25"/>
  <c r="G8" i="25"/>
  <c r="G16" i="25"/>
  <c r="G10" i="25"/>
  <c r="G9" i="25"/>
  <c r="G20" i="25"/>
  <c r="G27" i="25"/>
  <c r="G17" i="25"/>
  <c r="G7" i="25"/>
  <c r="G24" i="25"/>
  <c r="G21" i="25"/>
  <c r="C5" i="25" l="1"/>
  <c r="C6" i="25" l="1"/>
  <c r="E3" i="25"/>
  <c r="E10" i="15"/>
  <c r="F5" i="25" l="1"/>
  <c r="B27" i="15"/>
  <c r="B29" i="15"/>
  <c r="K6" i="25" l="1"/>
  <c r="F7" i="25"/>
  <c r="F10" i="25"/>
  <c r="F8" i="25"/>
  <c r="F11" i="25"/>
  <c r="F9" i="25"/>
  <c r="F12" i="25"/>
  <c r="F4" i="25"/>
  <c r="N7" i="25"/>
  <c r="E29" i="15" l="1"/>
  <c r="L6" i="25" s="1"/>
  <c r="X7" i="25"/>
  <c r="W7" i="25"/>
  <c r="V7" i="25"/>
  <c r="G29" i="15"/>
  <c r="F13" i="25"/>
  <c r="F14" i="25" l="1"/>
  <c r="F15" i="25" l="1"/>
  <c r="F16" i="25" l="1"/>
  <c r="F17" i="25" l="1"/>
  <c r="F18" i="25" l="1"/>
  <c r="F19" i="25" l="1"/>
  <c r="F20" i="25" l="1"/>
  <c r="F21" i="25" l="1"/>
  <c r="F22" i="25" l="1"/>
  <c r="F23" i="25" l="1"/>
  <c r="F24" i="25" l="1"/>
  <c r="F25" i="25" l="1"/>
  <c r="F26" i="25" l="1"/>
  <c r="F27" i="25" l="1"/>
  <c r="F28" i="25" l="1"/>
  <c r="O7" i="25" l="1"/>
  <c r="I7" i="25"/>
  <c r="M8" i="25" s="1"/>
  <c r="U8" i="25" l="1"/>
  <c r="X8" i="25" s="1"/>
  <c r="S8" i="25"/>
  <c r="V8" i="25" s="1"/>
  <c r="T8" i="25"/>
  <c r="W8" i="25" s="1"/>
  <c r="AC7" i="25"/>
  <c r="Z7" i="25"/>
  <c r="AA7" i="25"/>
  <c r="AB7" i="25"/>
  <c r="N8" i="25"/>
  <c r="I8" i="25"/>
  <c r="N9" i="25" s="1"/>
  <c r="O8" i="25" l="1"/>
  <c r="M9" i="25"/>
  <c r="AC8" i="25" l="1"/>
  <c r="Z8" i="25"/>
  <c r="AB8" i="25"/>
  <c r="AA8" i="25"/>
  <c r="S9" i="25"/>
  <c r="V9" i="25" s="1"/>
  <c r="T9" i="25"/>
  <c r="W9" i="25" s="1"/>
  <c r="U9" i="25"/>
  <c r="X9" i="25" s="1"/>
  <c r="O9" i="25"/>
  <c r="I9" i="25"/>
  <c r="AC9" i="25" l="1"/>
  <c r="Z9" i="25"/>
  <c r="AB9" i="25"/>
  <c r="AA9" i="25"/>
  <c r="M10" i="25"/>
  <c r="N10" i="25"/>
  <c r="I10" i="25" l="1"/>
  <c r="M11" i="25" s="1"/>
  <c r="U10" i="25"/>
  <c r="X10" i="25" s="1"/>
  <c r="S10" i="25"/>
  <c r="V10" i="25" s="1"/>
  <c r="T10" i="25"/>
  <c r="W10" i="25" s="1"/>
  <c r="O10" i="25"/>
  <c r="N11" i="25"/>
  <c r="T11" i="25" l="1"/>
  <c r="W11" i="25" s="1"/>
  <c r="U11" i="25"/>
  <c r="X11" i="25" s="1"/>
  <c r="S11" i="25"/>
  <c r="V11" i="25" s="1"/>
  <c r="I11" i="25"/>
  <c r="M12" i="25" s="1"/>
  <c r="AC10" i="25"/>
  <c r="Z10" i="25"/>
  <c r="AA10" i="25"/>
  <c r="AB10" i="25"/>
  <c r="O11" i="25"/>
  <c r="N12" i="25" l="1"/>
  <c r="O12" i="25" s="1"/>
  <c r="I12" i="25"/>
  <c r="U12" i="25"/>
  <c r="X12" i="25" s="1"/>
  <c r="S12" i="25"/>
  <c r="V12" i="25" s="1"/>
  <c r="T12" i="25"/>
  <c r="W12" i="25" s="1"/>
  <c r="AC11" i="25"/>
  <c r="Z11" i="25"/>
  <c r="AA11" i="25"/>
  <c r="AB11" i="25"/>
  <c r="M13" i="25"/>
  <c r="N13" i="25"/>
  <c r="I13" i="25" l="1"/>
  <c r="S13" i="25"/>
  <c r="V13" i="25" s="1"/>
  <c r="T13" i="25"/>
  <c r="W13" i="25" s="1"/>
  <c r="U13" i="25"/>
  <c r="X13" i="25" s="1"/>
  <c r="AC12" i="25"/>
  <c r="Z12" i="25"/>
  <c r="AB12" i="25"/>
  <c r="AA12" i="25"/>
  <c r="O13" i="25"/>
  <c r="M14" i="25"/>
  <c r="N14" i="25"/>
  <c r="U14" i="25" l="1"/>
  <c r="X14" i="25" s="1"/>
  <c r="S14" i="25"/>
  <c r="V14" i="25" s="1"/>
  <c r="T14" i="25"/>
  <c r="W14" i="25" s="1"/>
  <c r="AC13" i="25"/>
  <c r="Z13" i="25"/>
  <c r="AA13" i="25"/>
  <c r="AB13" i="25"/>
  <c r="I14" i="25"/>
  <c r="N15" i="25" s="1"/>
  <c r="O15" i="25" s="1"/>
  <c r="O14" i="25"/>
  <c r="I15" i="25" l="1"/>
  <c r="AC15" i="25"/>
  <c r="Z15" i="25"/>
  <c r="AB15" i="25"/>
  <c r="AA15" i="25"/>
  <c r="C12" i="25"/>
  <c r="AC14" i="25"/>
  <c r="Z14" i="25"/>
  <c r="AB14" i="25"/>
  <c r="AA14" i="25"/>
  <c r="N16" i="25"/>
  <c r="O16" i="25" s="1"/>
  <c r="I16" i="25"/>
  <c r="AC16" i="25" l="1"/>
  <c r="Z16" i="25"/>
  <c r="AB16" i="25"/>
  <c r="AA16" i="25"/>
  <c r="I17" i="25"/>
  <c r="N17" i="25"/>
  <c r="O17" i="25" s="1"/>
  <c r="AC17" i="25" l="1"/>
  <c r="Z17" i="25"/>
  <c r="AB17" i="25"/>
  <c r="AA17" i="25"/>
  <c r="I18" i="25"/>
  <c r="N18" i="25"/>
  <c r="O18" i="25" s="1"/>
  <c r="AC18" i="25" l="1"/>
  <c r="Z18" i="25"/>
  <c r="AB18" i="25"/>
  <c r="AA18" i="25"/>
  <c r="N19" i="25"/>
  <c r="O19" i="25" s="1"/>
  <c r="I19" i="25"/>
  <c r="AC19" i="25" l="1"/>
  <c r="Z19" i="25"/>
  <c r="AB19" i="25"/>
  <c r="AA19" i="25"/>
  <c r="N20" i="25"/>
  <c r="O20" i="25" s="1"/>
  <c r="I20" i="25"/>
  <c r="AC20" i="25" l="1"/>
  <c r="Z20" i="25"/>
  <c r="AB20" i="25"/>
  <c r="AA20" i="25"/>
  <c r="I21" i="25"/>
  <c r="N21" i="25"/>
  <c r="O21" i="25" s="1"/>
  <c r="AC21" i="25" l="1"/>
  <c r="Z21" i="25"/>
  <c r="AA21" i="25"/>
  <c r="AB21" i="25"/>
  <c r="I22" i="25"/>
  <c r="N22" i="25"/>
  <c r="O22" i="25" s="1"/>
  <c r="AC22" i="25" l="1"/>
  <c r="Z22" i="25"/>
  <c r="AB22" i="25"/>
  <c r="AA22" i="25"/>
  <c r="N23" i="25"/>
  <c r="O23" i="25" s="1"/>
  <c r="I23" i="25"/>
  <c r="AC23" i="25" l="1"/>
  <c r="Z23" i="25"/>
  <c r="AB23" i="25"/>
  <c r="AA23" i="25"/>
  <c r="N24" i="25"/>
  <c r="O24" i="25" s="1"/>
  <c r="I24" i="25"/>
  <c r="AC24" i="25" l="1"/>
  <c r="Z24" i="25"/>
  <c r="AB24" i="25"/>
  <c r="AA24" i="25"/>
  <c r="I25" i="25"/>
  <c r="N25" i="25"/>
  <c r="O25" i="25" s="1"/>
  <c r="AC25" i="25" l="1"/>
  <c r="Z25" i="25"/>
  <c r="AB25" i="25"/>
  <c r="AA25" i="25"/>
  <c r="I26" i="25"/>
  <c r="N26" i="25"/>
  <c r="O26" i="25" s="1"/>
  <c r="AC26" i="25" l="1"/>
  <c r="Z26" i="25"/>
  <c r="AB26" i="25"/>
  <c r="AA26" i="25"/>
  <c r="N27" i="25"/>
  <c r="O27" i="25" s="1"/>
  <c r="I27" i="25"/>
  <c r="AC27" i="25" l="1"/>
  <c r="Z27" i="25"/>
  <c r="AB27" i="25"/>
  <c r="AA27" i="25"/>
  <c r="N28" i="25"/>
  <c r="I28" i="25"/>
  <c r="O28" i="25" l="1"/>
  <c r="N29" i="25"/>
  <c r="O29" i="25"/>
  <c r="AC28" i="25" l="1"/>
  <c r="AC5" i="25" s="1"/>
  <c r="Z28" i="25"/>
  <c r="AB28" i="25"/>
  <c r="AA28" i="25"/>
  <c r="B12" i="25"/>
  <c r="E16" i="15"/>
  <c r="C11" i="25" l="1"/>
  <c r="E17" i="15" s="1"/>
  <c r="B28" i="15" l="1"/>
  <c r="O6" i="25" l="1"/>
  <c r="K5" i="25"/>
  <c r="O4" i="25"/>
  <c r="E28" i="15" l="1"/>
  <c r="L5" i="25" l="1"/>
  <c r="O5" i="25" s="1"/>
  <c r="C9" i="25" s="1"/>
  <c r="E22" i="15" s="1"/>
  <c r="E23" i="15" s="1"/>
  <c r="G28" i="15"/>
</calcChain>
</file>

<file path=xl/sharedStrings.xml><?xml version="1.0" encoding="utf-8"?>
<sst xmlns="http://schemas.openxmlformats.org/spreadsheetml/2006/main" count="50" uniqueCount="48">
  <si>
    <t>Intereses</t>
  </si>
  <si>
    <t>Flujo</t>
  </si>
  <si>
    <t>Precio</t>
  </si>
  <si>
    <t>TIR (TEA)</t>
  </si>
  <si>
    <t>VN a licitar</t>
  </si>
  <si>
    <t xml:space="preserve">La presente planilla de cálculo debe ser considerada por el interesado al sólo efecto ilustrativo y ejemplificativo. Los resultados que esta arroje no serán vinculantes y pueden sufrir variaciones ante cambios en cualquiera de los supuestos de elaboración. A los efectos de la suscripción de las Obligaciones Negociables, el interesado deberá basarse en sus propios cálculos y evaluación de la información publicada en el Suplemento de Prospecto y en particular las consideraciones de riesgo para la inversión. </t>
  </si>
  <si>
    <t>Tasa</t>
  </si>
  <si>
    <t>Fecha de Emisión</t>
  </si>
  <si>
    <t>Fecha de Vencimiento</t>
  </si>
  <si>
    <t>Vida Promedio (años)</t>
  </si>
  <si>
    <t>Duration (años)</t>
  </si>
  <si>
    <t>Fecha de Liquidación</t>
  </si>
  <si>
    <t xml:space="preserve">TNA </t>
  </si>
  <si>
    <t>Tasa fija a licitar</t>
  </si>
  <si>
    <t>Tasa a Licitar</t>
  </si>
  <si>
    <t>Duration Modificada</t>
  </si>
  <si>
    <t>Av Life</t>
  </si>
  <si>
    <t>Fecha Cupón</t>
  </si>
  <si>
    <t>N°</t>
  </si>
  <si>
    <t>Dias</t>
  </si>
  <si>
    <t>Fecha de Suscripción</t>
  </si>
  <si>
    <t>TIR</t>
  </si>
  <si>
    <t>%</t>
  </si>
  <si>
    <t>Par Value</t>
  </si>
  <si>
    <t>Pagos Principal</t>
  </si>
  <si>
    <t>Integración</t>
  </si>
  <si>
    <t>% Integración</t>
  </si>
  <si>
    <t>Interes Corridos</t>
  </si>
  <si>
    <t>VN a Licitar</t>
  </si>
  <si>
    <t>ON YPF Clase XX - Dólar Linked</t>
  </si>
  <si>
    <t>Fechas</t>
  </si>
  <si>
    <t>Fechas de Emisión e Integración</t>
  </si>
  <si>
    <t>VN a Recibir</t>
  </si>
  <si>
    <t>Precio Integración</t>
  </si>
  <si>
    <t>AA-.ar</t>
  </si>
  <si>
    <t xml:space="preserve">Calificación de Riesgo </t>
  </si>
  <si>
    <t>Tipo de Interés</t>
  </si>
  <si>
    <t>Precio de Emisión Inicial</t>
  </si>
  <si>
    <t>Plazo (meses)</t>
  </si>
  <si>
    <t xml:space="preserve">Tipo Cambio Inicial </t>
  </si>
  <si>
    <t>Monto a integrar (exp. en USD) *</t>
  </si>
  <si>
    <t>TC aplicable</t>
  </si>
  <si>
    <t>Monto a integrar (exp. en ARS) *</t>
  </si>
  <si>
    <t>Vida Promedio</t>
  </si>
  <si>
    <t>NPV</t>
  </si>
  <si>
    <t>Duration</t>
  </si>
  <si>
    <t>Tipo de cambio</t>
  </si>
  <si>
    <r>
      <t xml:space="preserve">(*) Las Obligaciones Negociables deberán ser suscriptas e integradas únicamente en efectivo, en Pesos al Tipo de Cambio de Integración.                                                       </t>
    </r>
    <r>
      <rPr>
        <i/>
        <u/>
        <sz val="8"/>
        <color rgb="FF002060"/>
        <rFont val="Calibri"/>
        <family val="2"/>
        <scheme val="minor"/>
      </rPr>
      <t>Tipo de Cambio de Integración:</t>
    </r>
    <r>
      <rPr>
        <i/>
        <sz val="8"/>
        <color rgb="FF002060"/>
        <rFont val="Calibri"/>
        <family val="2"/>
        <scheme val="minor"/>
      </rPr>
      <t xml:space="preserve"> Será el promedio aritmético simple de los últimos tres (3) Días Hábiles previos a cada Fecha de Cálculo de Integración, del tipo de cambio de referencia Dólar Estadounidense/Pesos informado por el Banco Central de la República Argentina (el “BCRA”) mediante la Comunicación “A” 3500 (Mayorista), el cual será informado mediante el Aviso de Resultados y en cada respectivo Aviso Complementario.                                                                                                                                                 El precio de emisión de las Obligaciones Negociables que se integren, emitan y liquiden en la Segunda Fecha de Emisión y Liquidación, y en la Tercera Fecha de Emisión será el precio que se informe en el Aviso de Resultados (y que será reiterado en cada Aviso Complementario de Integración) (el “Precio de Emisión Diferido”). El Precio de Emisión Diferido será igual a Precio de Emisión Inicial más los intereses devengados bajo las Obligaciones Negociables desde la Primera Fecha de Emisión y Liquidación hasta la Fecha de Emisión y Liquidación que resulte aplicable (exclusive).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</si>
</sst>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_-&quot;$&quot;\ * #,##0.00_-;\-&quot;$&quot;\ * #,##0.00_-;_-&quot;$&quot;\ * &quot;-&quot;??_-;_-@_-"/>
    <numFmt numFmtId="166" formatCode="_-* #,##0.00_-;\-* #,##0.00_-;_-* &quot;-&quot;??_-;_-@_-"/>
    <numFmt numFmtId="167" formatCode="_-* #,##0.00\ _€_-;\-* #,##0.00\ _€_-;_-* &quot;-&quot;??\ _€_-;_-@_-"/>
    <numFmt numFmtId="168" formatCode="_-* #,##0\ _€_-;\-* #,##0\ _€_-;_-* &quot;-&quot;??\ _€_-;_-@_-"/>
    <numFmt numFmtId="169" formatCode="#,##0.00_ ;\-#,##0.00\ "/>
    <numFmt numFmtId="170" formatCode="#,##0_ ;\-#,##0\ "/>
    <numFmt numFmtId="171" formatCode="0.0000"/>
    <numFmt numFmtId="172" formatCode="dd\-mm\-yy;@"/>
    <numFmt numFmtId="173" formatCode="0.0000%"/>
    <numFmt numFmtId="174" formatCode="_-* #,##0.0000\ _€_-;\-* #,##0.0000\ _€_-;_-* &quot;-&quot;??\ _€_-;_-@_-"/>
    <numFmt numFmtId="175" formatCode="#,##0.0000"/>
    <numFmt numFmtId="176" formatCode="0.0%"/>
    <numFmt numFmtId="177" formatCode="#,##0.0_ ;\-#,##0.0\ "/>
    <numFmt numFmtId="178" formatCode="#,##0.000"/>
    <numFmt numFmtId="179" formatCode="#,##0.000_ ;\-#,##0.000\ "/>
    <numFmt numFmtId="180" formatCode="0.000%"/>
  </numFmts>
  <fonts count="21" x14ac:knownFonts="1">
    <font>
      <sz val="11"/>
      <color theme="1"/>
      <name val="Calibri"/>
      <family val="2"/>
      <scheme val="minor"/>
    </font>
    <font>
      <sz val="11"/>
      <color theme="1"/>
      <name val="Calibri"/>
      <family val="2"/>
      <scheme val="minor"/>
    </font>
    <font>
      <sz val="10"/>
      <color theme="1"/>
      <name val="Calibri"/>
      <family val="2"/>
      <scheme val="minor"/>
    </font>
    <font>
      <sz val="10"/>
      <color rgb="FF002060"/>
      <name val="Calibri"/>
      <family val="2"/>
      <scheme val="minor"/>
    </font>
    <font>
      <sz val="10"/>
      <name val="Arial"/>
      <family val="2"/>
    </font>
    <font>
      <sz val="9"/>
      <color theme="1"/>
      <name val="Calibri"/>
      <family val="2"/>
      <scheme val="minor"/>
    </font>
    <font>
      <b/>
      <sz val="9"/>
      <color theme="0"/>
      <name val="Calibri"/>
      <family val="2"/>
      <scheme val="minor"/>
    </font>
    <font>
      <sz val="9"/>
      <color theme="3" tint="-0.499984740745262"/>
      <name val="Calibri"/>
      <family val="2"/>
      <scheme val="minor"/>
    </font>
    <font>
      <sz val="9"/>
      <color theme="3"/>
      <name val="Calibri"/>
      <family val="2"/>
      <scheme val="minor"/>
    </font>
    <font>
      <sz val="9"/>
      <name val="Calibri"/>
      <family val="2"/>
      <scheme val="minor"/>
    </font>
    <font>
      <b/>
      <sz val="9"/>
      <color theme="1"/>
      <name val="Calibri"/>
      <family val="2"/>
      <scheme val="minor"/>
    </font>
    <font>
      <sz val="9"/>
      <color rgb="FFFF0000"/>
      <name val="Calibri"/>
      <family val="2"/>
      <scheme val="minor"/>
    </font>
    <font>
      <b/>
      <sz val="9"/>
      <color rgb="FFFF0000"/>
      <name val="Calibri"/>
      <family val="2"/>
      <scheme val="minor"/>
    </font>
    <font>
      <b/>
      <sz val="9"/>
      <name val="Calibri"/>
      <family val="2"/>
      <scheme val="minor"/>
    </font>
    <font>
      <sz val="10"/>
      <name val="Calibri"/>
      <family val="2"/>
      <scheme val="minor"/>
    </font>
    <font>
      <b/>
      <sz val="9"/>
      <color theme="3" tint="-0.499984740745262"/>
      <name val="Calibri"/>
      <family val="2"/>
      <scheme val="minor"/>
    </font>
    <font>
      <sz val="11"/>
      <color indexed="8"/>
      <name val="Calibri"/>
      <family val="2"/>
      <scheme val="minor"/>
    </font>
    <font>
      <b/>
      <sz val="10"/>
      <color theme="0"/>
      <name val="Calibri"/>
      <family val="2"/>
      <scheme val="minor"/>
    </font>
    <font>
      <i/>
      <sz val="8"/>
      <color rgb="FF002060"/>
      <name val="Calibri"/>
      <family val="2"/>
      <scheme val="minor"/>
    </font>
    <font>
      <i/>
      <u/>
      <sz val="8"/>
      <color rgb="FF002060"/>
      <name val="Calibri"/>
      <family val="2"/>
      <scheme val="minor"/>
    </font>
    <font>
      <u/>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A8C227"/>
        <bgColor indexed="64"/>
      </patternFill>
    </fill>
    <fill>
      <patternFill patternType="solid">
        <fgColor rgb="FFE1EDA5"/>
        <bgColor indexed="64"/>
      </patternFill>
    </fill>
    <fill>
      <patternFill patternType="solid">
        <fgColor rgb="FF002060"/>
        <bgColor indexed="64"/>
      </patternFill>
    </fill>
    <fill>
      <patternFill patternType="solid">
        <fgColor them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6" tint="-0.499984740745262"/>
        <bgColor indexed="64"/>
      </patternFill>
    </fill>
  </fills>
  <borders count="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
    <xf numFmtId="0" fontId="0" fillId="0" borderId="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6" fillId="0" borderId="0"/>
    <xf numFmtId="0" fontId="4" fillId="0" borderId="0" applyNumberFormat="0" applyFill="0" applyBorder="0" applyAlignment="0" applyProtection="0"/>
  </cellStyleXfs>
  <cellXfs count="86">
    <xf numFmtId="0" fontId="0" fillId="0" borderId="0" xfId="0"/>
    <xf numFmtId="168" fontId="3" fillId="2" borderId="0" xfId="0" applyNumberFormat="1" applyFont="1" applyFill="1" applyAlignment="1" applyProtection="1">
      <alignment horizontal="center" vertical="center"/>
      <protection hidden="1"/>
    </xf>
    <xf numFmtId="15" fontId="10" fillId="2" borderId="1" xfId="12" applyNumberFormat="1" applyFont="1" applyFill="1" applyBorder="1" applyAlignment="1">
      <alignment horizontal="center" vertical="center"/>
    </xf>
    <xf numFmtId="15" fontId="11" fillId="2" borderId="0" xfId="9" applyNumberFormat="1" applyFont="1" applyFill="1" applyBorder="1" applyAlignment="1">
      <alignment horizontal="center" vertical="center"/>
    </xf>
    <xf numFmtId="167" fontId="2" fillId="2" borderId="0" xfId="1"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172" fontId="7" fillId="2" borderId="0" xfId="0" applyNumberFormat="1" applyFont="1" applyFill="1" applyBorder="1" applyAlignment="1" applyProtection="1">
      <alignment horizontal="center" vertical="center"/>
      <protection hidden="1"/>
    </xf>
    <xf numFmtId="170" fontId="7" fillId="2" borderId="0" xfId="1" applyNumberFormat="1" applyFont="1" applyFill="1" applyBorder="1" applyAlignment="1" applyProtection="1">
      <alignment horizontal="center" vertical="center"/>
      <protection hidden="1"/>
    </xf>
    <xf numFmtId="10" fontId="7" fillId="2" borderId="0" xfId="0" applyNumberFormat="1" applyFont="1" applyFill="1" applyBorder="1" applyAlignment="1" applyProtection="1">
      <alignment horizontal="center" vertical="center"/>
      <protection hidden="1"/>
    </xf>
    <xf numFmtId="4" fontId="7" fillId="2" borderId="0" xfId="0" applyNumberFormat="1" applyFont="1" applyFill="1" applyBorder="1" applyAlignment="1" applyProtection="1">
      <alignment horizontal="center" vertical="center"/>
      <protection hidden="1"/>
    </xf>
    <xf numFmtId="170" fontId="6" fillId="3" borderId="0" xfId="1" applyNumberFormat="1" applyFont="1" applyFill="1" applyBorder="1" applyAlignment="1" applyProtection="1">
      <alignment horizontal="center" vertical="center"/>
      <protection hidden="1"/>
    </xf>
    <xf numFmtId="10" fontId="8" fillId="4" borderId="0" xfId="0" applyNumberFormat="1" applyFont="1" applyFill="1" applyBorder="1" applyAlignment="1" applyProtection="1">
      <alignment horizontal="center" vertical="center"/>
      <protection hidden="1"/>
    </xf>
    <xf numFmtId="176" fontId="8" fillId="4" borderId="0" xfId="0" applyNumberFormat="1" applyFont="1" applyFill="1" applyBorder="1" applyAlignment="1" applyProtection="1">
      <alignment horizontal="center" vertical="center"/>
      <protection hidden="1"/>
    </xf>
    <xf numFmtId="172" fontId="15" fillId="6" borderId="0"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15" fillId="6" borderId="0" xfId="0" applyFont="1" applyFill="1" applyBorder="1" applyAlignment="1" applyProtection="1">
      <alignment horizontal="center" vertical="center"/>
      <protection hidden="1"/>
    </xf>
    <xf numFmtId="174" fontId="7" fillId="2" borderId="0" xfId="1" applyNumberFormat="1" applyFont="1" applyFill="1" applyBorder="1" applyAlignment="1">
      <alignment horizontal="center" vertical="center"/>
    </xf>
    <xf numFmtId="0" fontId="6" fillId="3" borderId="0" xfId="0" applyFont="1" applyFill="1" applyBorder="1" applyAlignment="1" applyProtection="1">
      <alignment horizontal="center" vertical="center"/>
      <protection hidden="1"/>
    </xf>
    <xf numFmtId="167" fontId="5" fillId="2" borderId="0" xfId="1" applyFont="1" applyFill="1" applyBorder="1" applyAlignment="1">
      <alignment horizontal="center" vertical="center"/>
    </xf>
    <xf numFmtId="176" fontId="5" fillId="2" borderId="0" xfId="0" applyNumberFormat="1" applyFont="1" applyFill="1" applyBorder="1" applyAlignment="1">
      <alignment horizontal="center" vertical="center"/>
    </xf>
    <xf numFmtId="0" fontId="9" fillId="2" borderId="0" xfId="8" applyFont="1" applyFill="1" applyBorder="1" applyAlignment="1">
      <alignment horizontal="center" vertical="center"/>
    </xf>
    <xf numFmtId="0" fontId="9" fillId="2" borderId="2" xfId="8" applyFont="1" applyFill="1" applyBorder="1" applyAlignment="1">
      <alignment horizontal="center" vertical="center"/>
    </xf>
    <xf numFmtId="0" fontId="9" fillId="2" borderId="0" xfId="9" applyFont="1" applyFill="1" applyBorder="1" applyAlignment="1">
      <alignment horizontal="center" vertical="center"/>
    </xf>
    <xf numFmtId="0" fontId="9" fillId="2" borderId="0" xfId="10" applyFont="1" applyFill="1" applyBorder="1" applyAlignment="1">
      <alignment horizontal="center" vertical="center"/>
    </xf>
    <xf numFmtId="0" fontId="13" fillId="2" borderId="1" xfId="9" applyFont="1" applyFill="1" applyBorder="1" applyAlignment="1">
      <alignment horizontal="center" vertical="center"/>
    </xf>
    <xf numFmtId="0" fontId="13" fillId="2" borderId="3" xfId="9" applyFont="1" applyFill="1" applyBorder="1" applyAlignment="1">
      <alignment horizontal="center" vertical="center"/>
    </xf>
    <xf numFmtId="171" fontId="10" fillId="2" borderId="1" xfId="12" applyNumberFormat="1" applyFont="1" applyFill="1" applyBorder="1" applyAlignment="1">
      <alignment horizontal="center" vertical="center"/>
    </xf>
    <xf numFmtId="171" fontId="10" fillId="2" borderId="1" xfId="12" applyNumberFormat="1" applyFont="1" applyFill="1" applyBorder="1" applyAlignment="1">
      <alignment horizontal="center" vertical="center" wrapText="1"/>
    </xf>
    <xf numFmtId="0" fontId="13" fillId="2" borderId="1" xfId="12" applyFont="1" applyFill="1" applyBorder="1" applyAlignment="1">
      <alignment horizontal="center" vertical="center"/>
    </xf>
    <xf numFmtId="4" fontId="13" fillId="2" borderId="1" xfId="12" applyNumberFormat="1" applyFont="1" applyFill="1" applyBorder="1" applyAlignment="1">
      <alignment horizontal="center" vertical="center"/>
    </xf>
    <xf numFmtId="0" fontId="13" fillId="2" borderId="1" xfId="8" applyFont="1" applyFill="1" applyBorder="1" applyAlignment="1">
      <alignment horizontal="center" vertical="center"/>
    </xf>
    <xf numFmtId="175" fontId="9" fillId="2" borderId="0" xfId="9" applyNumberFormat="1" applyFont="1" applyFill="1" applyBorder="1" applyAlignment="1">
      <alignment horizontal="center" vertical="center"/>
    </xf>
    <xf numFmtId="4" fontId="9" fillId="2" borderId="0" xfId="9" applyNumberFormat="1" applyFont="1" applyFill="1" applyBorder="1" applyAlignment="1">
      <alignment horizontal="center" vertical="center"/>
    </xf>
    <xf numFmtId="175" fontId="9" fillId="2" borderId="2" xfId="9" applyNumberFormat="1" applyFont="1" applyFill="1" applyBorder="1" applyAlignment="1">
      <alignment horizontal="center" vertical="center"/>
    </xf>
    <xf numFmtId="15" fontId="11" fillId="2" borderId="0" xfId="12" applyNumberFormat="1" applyFont="1" applyFill="1" applyBorder="1" applyAlignment="1">
      <alignment horizontal="center" vertical="center"/>
    </xf>
    <xf numFmtId="4" fontId="9" fillId="2" borderId="0" xfId="12" applyNumberFormat="1" applyFont="1" applyFill="1" applyBorder="1" applyAlignment="1">
      <alignment horizontal="center" vertical="center"/>
    </xf>
    <xf numFmtId="2" fontId="9" fillId="2" borderId="0" xfId="13" applyNumberFormat="1" applyFont="1" applyFill="1" applyBorder="1" applyAlignment="1" applyProtection="1">
      <alignment horizontal="center" vertical="center"/>
    </xf>
    <xf numFmtId="10" fontId="9" fillId="2" borderId="0" xfId="2" applyNumberFormat="1" applyFont="1" applyFill="1" applyBorder="1" applyAlignment="1">
      <alignment horizontal="center" vertical="center"/>
    </xf>
    <xf numFmtId="164" fontId="9" fillId="2" borderId="0" xfId="12" applyNumberFormat="1" applyFont="1" applyFill="1" applyBorder="1" applyAlignment="1">
      <alignment horizontal="center" vertical="center"/>
    </xf>
    <xf numFmtId="170" fontId="9" fillId="2" borderId="2" xfId="1" applyNumberFormat="1" applyFont="1" applyFill="1" applyBorder="1" applyAlignment="1">
      <alignment horizontal="center" vertical="center"/>
    </xf>
    <xf numFmtId="15" fontId="9" fillId="2" borderId="0" xfId="12" applyNumberFormat="1" applyFont="1" applyFill="1" applyBorder="1" applyAlignment="1">
      <alignment horizontal="center" vertical="center"/>
    </xf>
    <xf numFmtId="1" fontId="9" fillId="2" borderId="0" xfId="1" applyNumberFormat="1" applyFont="1" applyFill="1" applyBorder="1" applyAlignment="1">
      <alignment horizontal="center" vertical="center"/>
    </xf>
    <xf numFmtId="15" fontId="9" fillId="2" borderId="0" xfId="9" applyNumberFormat="1" applyFont="1" applyFill="1" applyBorder="1" applyAlignment="1">
      <alignment horizontal="center" vertical="center"/>
    </xf>
    <xf numFmtId="4" fontId="9" fillId="2" borderId="0" xfId="7" applyNumberFormat="1" applyFont="1" applyFill="1" applyBorder="1" applyAlignment="1">
      <alignment horizontal="center" vertical="center"/>
    </xf>
    <xf numFmtId="166" fontId="9" fillId="2" borderId="0" xfId="8" applyNumberFormat="1" applyFont="1" applyFill="1" applyBorder="1" applyAlignment="1">
      <alignment horizontal="center" vertical="center"/>
    </xf>
    <xf numFmtId="0" fontId="9" fillId="2" borderId="2" xfId="6" applyFont="1" applyFill="1" applyBorder="1" applyAlignment="1">
      <alignment horizontal="center" vertical="center"/>
    </xf>
    <xf numFmtId="10" fontId="12" fillId="2" borderId="0" xfId="2" applyNumberFormat="1" applyFont="1" applyFill="1" applyBorder="1" applyAlignment="1">
      <alignment horizontal="center" vertical="center"/>
    </xf>
    <xf numFmtId="164" fontId="9" fillId="2" borderId="0" xfId="13" applyFont="1" applyFill="1" applyBorder="1" applyAlignment="1" applyProtection="1">
      <alignment horizontal="center" vertical="center"/>
    </xf>
    <xf numFmtId="0" fontId="11" fillId="2" borderId="0" xfId="9" applyFont="1" applyFill="1" applyBorder="1" applyAlignment="1">
      <alignment horizontal="center" vertical="center"/>
    </xf>
    <xf numFmtId="10" fontId="11" fillId="2" borderId="0" xfId="11" applyNumberFormat="1" applyFont="1" applyFill="1" applyBorder="1" applyAlignment="1">
      <alignment horizontal="center" vertical="center"/>
    </xf>
    <xf numFmtId="173" fontId="9" fillId="2" borderId="0" xfId="9" applyNumberFormat="1" applyFont="1" applyFill="1" applyBorder="1" applyAlignment="1">
      <alignment horizontal="center" vertical="center"/>
    </xf>
    <xf numFmtId="10" fontId="9" fillId="2" borderId="0" xfId="11" applyNumberFormat="1" applyFont="1" applyFill="1" applyBorder="1" applyAlignment="1">
      <alignment horizontal="center" vertical="center"/>
    </xf>
    <xf numFmtId="169" fontId="14" fillId="2" borderId="0" xfId="1" applyNumberFormat="1" applyFont="1" applyFill="1" applyBorder="1" applyAlignment="1" applyProtection="1">
      <alignment horizontal="center" vertical="center"/>
      <protection hidden="1"/>
    </xf>
    <xf numFmtId="167" fontId="9" fillId="2" borderId="0" xfId="1" applyFont="1" applyFill="1" applyBorder="1" applyAlignment="1">
      <alignment horizontal="center" vertical="center"/>
    </xf>
    <xf numFmtId="0" fontId="9" fillId="2" borderId="1" xfId="8" applyFont="1" applyFill="1" applyBorder="1" applyAlignment="1">
      <alignment horizontal="center" vertical="center"/>
    </xf>
    <xf numFmtId="170" fontId="9" fillId="2" borderId="0" xfId="8" applyNumberFormat="1" applyFont="1" applyFill="1" applyBorder="1" applyAlignment="1">
      <alignment horizontal="center" vertical="center"/>
    </xf>
    <xf numFmtId="4" fontId="9" fillId="2" borderId="1" xfId="7" applyNumberFormat="1" applyFont="1" applyFill="1" applyBorder="1" applyAlignment="1">
      <alignment horizontal="center" vertical="center"/>
    </xf>
    <xf numFmtId="0" fontId="9" fillId="2" borderId="4" xfId="8" applyFont="1" applyFill="1" applyBorder="1" applyAlignment="1">
      <alignment horizontal="center" vertical="center"/>
    </xf>
    <xf numFmtId="0" fontId="9" fillId="2" borderId="5" xfId="8" applyFont="1" applyFill="1" applyBorder="1" applyAlignment="1">
      <alignment horizontal="center" vertical="center"/>
    </xf>
    <xf numFmtId="4" fontId="9" fillId="2" borderId="5" xfId="8" applyNumberFormat="1" applyFont="1" applyFill="1" applyBorder="1" applyAlignment="1">
      <alignment horizontal="center" vertical="center"/>
    </xf>
    <xf numFmtId="177" fontId="9" fillId="2" borderId="2" xfId="1" applyNumberFormat="1" applyFont="1" applyFill="1" applyBorder="1" applyAlignment="1">
      <alignment horizontal="center" vertical="center"/>
    </xf>
    <xf numFmtId="9" fontId="9" fillId="2" borderId="0" xfId="2" applyFont="1" applyFill="1" applyBorder="1" applyAlignment="1">
      <alignment horizontal="center" vertical="center"/>
    </xf>
    <xf numFmtId="15" fontId="15" fillId="6" borderId="0" xfId="0" applyNumberFormat="1" applyFont="1" applyFill="1" applyBorder="1" applyAlignment="1" applyProtection="1">
      <alignment horizontal="center" vertical="center"/>
      <protection hidden="1"/>
    </xf>
    <xf numFmtId="0" fontId="6" fillId="7" borderId="0" xfId="0" applyFont="1" applyFill="1" applyBorder="1" applyAlignment="1" applyProtection="1">
      <alignment horizontal="center" vertical="center"/>
      <protection hidden="1"/>
    </xf>
    <xf numFmtId="3" fontId="7" fillId="2" borderId="0" xfId="0" applyNumberFormat="1" applyFont="1" applyFill="1" applyBorder="1" applyAlignment="1" applyProtection="1">
      <alignment horizontal="center" vertical="center"/>
      <protection hidden="1"/>
    </xf>
    <xf numFmtId="10" fontId="6" fillId="9" borderId="0" xfId="2" applyNumberFormat="1" applyFont="1" applyFill="1" applyBorder="1" applyAlignment="1" applyProtection="1">
      <alignment horizontal="center" vertical="center"/>
      <protection hidden="1"/>
    </xf>
    <xf numFmtId="10" fontId="6" fillId="9" borderId="0" xfId="2"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hidden="1"/>
    </xf>
    <xf numFmtId="170" fontId="6" fillId="9" borderId="0" xfId="1" applyNumberFormat="1"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wrapText="1"/>
      <protection hidden="1"/>
    </xf>
    <xf numFmtId="9" fontId="9" fillId="2" borderId="0" xfId="12" applyNumberFormat="1" applyFont="1" applyFill="1" applyBorder="1" applyAlignment="1">
      <alignment horizontal="center" vertical="center"/>
    </xf>
    <xf numFmtId="9" fontId="9" fillId="2" borderId="0" xfId="8" applyNumberFormat="1" applyFont="1" applyFill="1" applyBorder="1" applyAlignment="1">
      <alignment horizontal="center" vertical="center"/>
    </xf>
    <xf numFmtId="0" fontId="9" fillId="2" borderId="1" xfId="8" applyFont="1" applyFill="1" applyBorder="1" applyAlignment="1">
      <alignment horizontal="center" vertical="center"/>
    </xf>
    <xf numFmtId="14" fontId="9" fillId="2" borderId="0" xfId="8" applyNumberFormat="1" applyFont="1" applyFill="1" applyBorder="1" applyAlignment="1">
      <alignment horizontal="center" vertical="center"/>
    </xf>
    <xf numFmtId="14" fontId="9" fillId="2" borderId="1" xfId="8" applyNumberFormat="1" applyFont="1" applyFill="1" applyBorder="1" applyAlignment="1">
      <alignment horizontal="center" vertical="center"/>
    </xf>
    <xf numFmtId="178" fontId="7" fillId="2" borderId="0" xfId="0" applyNumberFormat="1" applyFont="1" applyFill="1" applyBorder="1" applyAlignment="1" applyProtection="1">
      <alignment horizontal="center" vertical="center"/>
      <protection hidden="1"/>
    </xf>
    <xf numFmtId="179" fontId="6" fillId="9" borderId="0" xfId="1" applyNumberFormat="1" applyFont="1" applyFill="1" applyBorder="1" applyAlignment="1" applyProtection="1">
      <alignment horizontal="center" vertical="center"/>
      <protection locked="0"/>
    </xf>
    <xf numFmtId="179" fontId="7" fillId="2" borderId="0" xfId="1" applyNumberFormat="1" applyFont="1" applyFill="1" applyBorder="1" applyAlignment="1" applyProtection="1">
      <alignment horizontal="center" vertical="center"/>
      <protection hidden="1"/>
    </xf>
    <xf numFmtId="180" fontId="7" fillId="2" borderId="0" xfId="2" applyNumberFormat="1" applyFont="1" applyFill="1" applyBorder="1" applyAlignment="1" applyProtection="1">
      <alignment horizontal="center" vertical="center"/>
      <protection hidden="1"/>
    </xf>
    <xf numFmtId="0" fontId="18" fillId="2"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0" fontId="6" fillId="8" borderId="0" xfId="0" applyFont="1" applyFill="1" applyBorder="1" applyAlignment="1" applyProtection="1">
      <alignment horizontal="center" vertical="center"/>
      <protection hidden="1"/>
    </xf>
    <xf numFmtId="0" fontId="17" fillId="5" borderId="0" xfId="0" applyFont="1" applyFill="1" applyBorder="1" applyAlignment="1" applyProtection="1">
      <alignment horizontal="center" vertical="center"/>
      <protection hidden="1"/>
    </xf>
    <xf numFmtId="4" fontId="9" fillId="2" borderId="1" xfId="12" applyNumberFormat="1" applyFont="1" applyFill="1" applyBorder="1" applyAlignment="1">
      <alignment horizontal="center" vertical="center"/>
    </xf>
    <xf numFmtId="0" fontId="9" fillId="2" borderId="1" xfId="8" applyFont="1" applyFill="1" applyBorder="1" applyAlignment="1">
      <alignment horizontal="center" vertical="center"/>
    </xf>
    <xf numFmtId="0" fontId="20" fillId="2" borderId="0" xfId="8" applyFont="1" applyFill="1" applyBorder="1" applyAlignment="1">
      <alignment horizontal="center" vertical="center"/>
    </xf>
  </cellXfs>
  <cellStyles count="18">
    <cellStyle name="AFE" xfId="17"/>
    <cellStyle name="Cambiar to&amp;do" xfId="6"/>
    <cellStyle name="Cambiar to&amp;do 2" xfId="10"/>
    <cellStyle name="Millares" xfId="1" builtinId="3"/>
    <cellStyle name="Millares 16" xfId="13"/>
    <cellStyle name="Millares 2" xfId="3"/>
    <cellStyle name="Millares 2 2" xfId="4"/>
    <cellStyle name="Millares 3" xfId="14"/>
    <cellStyle name="Moneda 2" xfId="15"/>
    <cellStyle name="Normal" xfId="0" builtinId="0"/>
    <cellStyle name="Normal 2" xfId="5"/>
    <cellStyle name="Normal 2 2" xfId="16"/>
    <cellStyle name="Normal 3" xfId="8"/>
    <cellStyle name="Normal 5" xfId="12"/>
    <cellStyle name="Normal_Excel Bloomberg (Títulos y ONs Bancos) NOBACS" xfId="7"/>
    <cellStyle name="Normal_Excel Bloomberg (Títulos y ONs Bancos) NOBACS 2" xfId="9"/>
    <cellStyle name="Porcentaje" xfId="2" builtinId="5"/>
    <cellStyle name="Porcentaje 2" xfId="11"/>
  </cellStyles>
  <dxfs count="0"/>
  <tableStyles count="0" defaultTableStyle="TableStyleMedium9" defaultPivotStyle="PivotStyleLight16"/>
  <colors>
    <mruColors>
      <color rgb="FFE1EDA5"/>
      <color rgb="FFA8C227"/>
      <color rgb="FF003399"/>
      <color rgb="FFFF6600"/>
      <color rgb="FF006600"/>
      <color rgb="FF0250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103908</xdr:colOff>
      <xdr:row>0</xdr:row>
      <xdr:rowOff>129887</xdr:rowOff>
    </xdr:from>
    <xdr:to>
      <xdr:col>4</xdr:col>
      <xdr:colOff>874567</xdr:colOff>
      <xdr:row>5</xdr:row>
      <xdr:rowOff>69273</xdr:rowOff>
    </xdr:to>
    <xdr:pic>
      <xdr:nvPicPr>
        <xdr:cNvPr id="3" name="Picture 3" descr="YPF - Wikipedia, la enciclopedia libr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6317" y="129887"/>
          <a:ext cx="1844386" cy="718704"/>
        </a:xfrm>
        <a:prstGeom prst="rect">
          <a:avLst/>
        </a:prstGeom>
        <a:noFill/>
        <a:ln>
          <a:noFill/>
        </a:ln>
      </xdr:spPr>
    </xdr:pic>
    <xdr:clientData/>
  </xdr:twoCellAnchor>
  <xdr:twoCellAnchor editAs="oneCell">
    <xdr:from>
      <xdr:col>3</xdr:col>
      <xdr:colOff>476249</xdr:colOff>
      <xdr:row>35</xdr:row>
      <xdr:rowOff>17318</xdr:rowOff>
    </xdr:from>
    <xdr:to>
      <xdr:col>4</xdr:col>
      <xdr:colOff>1064952</xdr:colOff>
      <xdr:row>39</xdr:row>
      <xdr:rowOff>108238</xdr:rowOff>
    </xdr:to>
    <xdr:pic>
      <xdr:nvPicPr>
        <xdr:cNvPr id="4" name="Picture 3" descr="C:\Users\LXD\AppData\Local\Microsoft\Windows\INetCache\Content.Word\Una_lineas_fondoblanco-01.jpg">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433"/>
        <a:stretch/>
      </xdr:blipFill>
      <xdr:spPr bwMode="auto">
        <a:xfrm>
          <a:off x="3818658" y="5282045"/>
          <a:ext cx="1662430" cy="7143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17318</xdr:colOff>
      <xdr:row>35</xdr:row>
      <xdr:rowOff>69272</xdr:rowOff>
    </xdr:from>
    <xdr:to>
      <xdr:col>2</xdr:col>
      <xdr:colOff>1099704</xdr:colOff>
      <xdr:row>38</xdr:row>
      <xdr:rowOff>138545</xdr:rowOff>
    </xdr:to>
    <xdr:pic>
      <xdr:nvPicPr>
        <xdr:cNvPr id="5" name="Imagen 4" descr="C:\Users\Jaime\AppData\Local\Microsoft\Windows\INetCache\Content.Outlook\WNM7AWRN\logo alyc.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5682" y="5333999"/>
          <a:ext cx="2095499" cy="53686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4"/>
  <sheetViews>
    <sheetView tabSelected="1" topLeftCell="A11" zoomScale="110" zoomScaleNormal="110" workbookViewId="0">
      <selection activeCell="E20" sqref="E20"/>
    </sheetView>
  </sheetViews>
  <sheetFormatPr baseColWidth="10" defaultColWidth="11.42578125" defaultRowHeight="12" x14ac:dyDescent="0.25"/>
  <cols>
    <col min="1" max="1" width="16.5703125" style="5" customWidth="1"/>
    <col min="2" max="2" width="15.140625" style="5" customWidth="1"/>
    <col min="3" max="3" width="18.28515625" style="5" customWidth="1"/>
    <col min="4" max="4" width="16.140625" style="5" customWidth="1"/>
    <col min="5" max="5" width="16.28515625" style="5" customWidth="1"/>
    <col min="6" max="6" width="16.5703125" style="5" customWidth="1"/>
    <col min="7" max="7" width="13" style="5" customWidth="1"/>
    <col min="8" max="16384" width="11.42578125" style="5"/>
  </cols>
  <sheetData>
    <row r="7" spans="2:7" ht="11.25" customHeight="1" x14ac:dyDescent="0.25">
      <c r="B7" s="82" t="s">
        <v>29</v>
      </c>
      <c r="C7" s="82"/>
      <c r="D7" s="82"/>
      <c r="E7" s="82"/>
      <c r="F7" s="82"/>
      <c r="G7" s="82"/>
    </row>
    <row r="8" spans="2:7" s="14" customFormat="1" ht="13.5" customHeight="1" x14ac:dyDescent="0.25">
      <c r="D8" s="13" t="s">
        <v>20</v>
      </c>
      <c r="E8" s="6">
        <v>44396</v>
      </c>
    </row>
    <row r="9" spans="2:7" s="14" customFormat="1" ht="13.5" customHeight="1" x14ac:dyDescent="0.25">
      <c r="D9" s="13" t="s">
        <v>11</v>
      </c>
      <c r="E9" s="6">
        <f>WORKDAY(E8,3)</f>
        <v>44399</v>
      </c>
    </row>
    <row r="10" spans="2:7" s="14" customFormat="1" ht="13.5" customHeight="1" x14ac:dyDescent="0.25">
      <c r="D10" s="13" t="s">
        <v>8</v>
      </c>
      <c r="E10" s="6">
        <f>+EDATE(E9,E13)</f>
        <v>48417</v>
      </c>
    </row>
    <row r="11" spans="2:7" s="14" customFormat="1" ht="13.5" customHeight="1" x14ac:dyDescent="0.25">
      <c r="D11" s="13" t="s">
        <v>36</v>
      </c>
      <c r="E11" s="6" t="s">
        <v>13</v>
      </c>
    </row>
    <row r="12" spans="2:7" s="14" customFormat="1" ht="13.5" customHeight="1" x14ac:dyDescent="0.25">
      <c r="D12" s="15" t="s">
        <v>37</v>
      </c>
      <c r="E12" s="7">
        <v>100</v>
      </c>
    </row>
    <row r="13" spans="2:7" s="14" customFormat="1" ht="13.5" customHeight="1" x14ac:dyDescent="0.25">
      <c r="D13" s="15" t="s">
        <v>38</v>
      </c>
      <c r="E13" s="7">
        <v>132</v>
      </c>
    </row>
    <row r="14" spans="2:7" s="14" customFormat="1" ht="13.5" customHeight="1" x14ac:dyDescent="0.25">
      <c r="D14" s="15" t="s">
        <v>39</v>
      </c>
      <c r="E14" s="77">
        <f>+AVERAGE('Clase XX'!B15:B17)</f>
        <v>96.185000000000002</v>
      </c>
    </row>
    <row r="15" spans="2:7" s="14" customFormat="1" ht="13.5" customHeight="1" x14ac:dyDescent="0.25">
      <c r="D15" s="15" t="s">
        <v>35</v>
      </c>
      <c r="E15" s="8" t="s">
        <v>34</v>
      </c>
    </row>
    <row r="16" spans="2:7" s="14" customFormat="1" ht="13.5" customHeight="1" x14ac:dyDescent="0.25">
      <c r="D16" s="15" t="s">
        <v>9</v>
      </c>
      <c r="E16" s="75">
        <f>'Clase XX'!C12</f>
        <v>7.6192172211350284</v>
      </c>
    </row>
    <row r="17" spans="1:7" s="14" customFormat="1" ht="13.5" customHeight="1" x14ac:dyDescent="0.25">
      <c r="D17" s="15" t="s">
        <v>10</v>
      </c>
      <c r="E17" s="9">
        <f>'Clase XX'!C11</f>
        <v>6.1021841634437495</v>
      </c>
      <c r="F17" s="16"/>
    </row>
    <row r="18" spans="1:7" ht="9" customHeight="1" x14ac:dyDescent="0.25"/>
    <row r="19" spans="1:7" ht="12" hidden="1" customHeight="1" x14ac:dyDescent="0.25">
      <c r="D19" s="17" t="s">
        <v>4</v>
      </c>
      <c r="E19" s="10">
        <v>1000000</v>
      </c>
    </row>
    <row r="20" spans="1:7" ht="12.75" customHeight="1" x14ac:dyDescent="0.25">
      <c r="D20" s="65" t="s">
        <v>14</v>
      </c>
      <c r="E20" s="66">
        <v>5.7500000000000002E-2</v>
      </c>
    </row>
    <row r="21" spans="1:7" ht="12.75" customHeight="1" x14ac:dyDescent="0.25">
      <c r="D21" s="67" t="s">
        <v>28</v>
      </c>
      <c r="E21" s="68">
        <v>1000000</v>
      </c>
    </row>
    <row r="22" spans="1:7" ht="12.75" customHeight="1" x14ac:dyDescent="0.25">
      <c r="D22" s="11" t="s">
        <v>3</v>
      </c>
      <c r="E22" s="11">
        <f>'Clase XX'!C9</f>
        <v>5.8314403891563421E-2</v>
      </c>
      <c r="F22" s="18"/>
    </row>
    <row r="23" spans="1:7" s="19" customFormat="1" ht="12.75" customHeight="1" x14ac:dyDescent="0.25">
      <c r="D23" s="12" t="s">
        <v>12</v>
      </c>
      <c r="E23" s="11">
        <f>+NOMINAL(E22,2)</f>
        <v>5.7488181148619422E-2</v>
      </c>
    </row>
    <row r="24" spans="1:7" s="19" customFormat="1" ht="6.75" customHeight="1" x14ac:dyDescent="0.25">
      <c r="B24" s="5"/>
      <c r="C24" s="5"/>
    </row>
    <row r="25" spans="1:7" s="19" customFormat="1" ht="11.25" customHeight="1" x14ac:dyDescent="0.25">
      <c r="B25" s="81" t="s">
        <v>31</v>
      </c>
      <c r="C25" s="81"/>
      <c r="D25" s="81"/>
      <c r="E25" s="81"/>
      <c r="F25" s="81"/>
      <c r="G25" s="81"/>
    </row>
    <row r="26" spans="1:7" s="19" customFormat="1" ht="35.25" customHeight="1" x14ac:dyDescent="0.25">
      <c r="B26" s="63" t="s">
        <v>30</v>
      </c>
      <c r="C26" s="63" t="s">
        <v>32</v>
      </c>
      <c r="D26" s="63" t="s">
        <v>33</v>
      </c>
      <c r="E26" s="69" t="s">
        <v>40</v>
      </c>
      <c r="F26" s="69" t="s">
        <v>41</v>
      </c>
      <c r="G26" s="69" t="s">
        <v>42</v>
      </c>
    </row>
    <row r="27" spans="1:7" s="19" customFormat="1" ht="12.75" customHeight="1" x14ac:dyDescent="0.25">
      <c r="B27" s="62">
        <f>+'Clase XX'!E4</f>
        <v>44399</v>
      </c>
      <c r="C27" s="64">
        <f>+$E$21*0.3</f>
        <v>300000</v>
      </c>
      <c r="D27" s="78">
        <f>+ROUND(('Clase XX'!$I$4*'Clase XX'!J4)/('Clase XX'!$I$4*'Clase XX'!J4),5)</f>
        <v>1</v>
      </c>
      <c r="E27" s="64">
        <f>+C27*D27</f>
        <v>300000</v>
      </c>
      <c r="F27" s="75">
        <f>+E14</f>
        <v>96.185000000000002</v>
      </c>
      <c r="G27" s="64">
        <f>+E27*F27</f>
        <v>28855500</v>
      </c>
    </row>
    <row r="28" spans="1:7" s="19" customFormat="1" ht="12.75" customHeight="1" x14ac:dyDescent="0.25">
      <c r="B28" s="62">
        <f>+'Clase XX'!E5</f>
        <v>44445</v>
      </c>
      <c r="C28" s="64">
        <f>+$E$21*0.3</f>
        <v>300000</v>
      </c>
      <c r="D28" s="78">
        <f>+ROUND((('Clase XX'!$I$4*'Clase XX'!J5)+'Clase XX'!K5)/('Clase XX'!$I$4*'Clase XX'!J5),5)</f>
        <v>1.00725</v>
      </c>
      <c r="E28" s="64">
        <f>+C28*D28</f>
        <v>302175</v>
      </c>
      <c r="F28" s="76">
        <v>96.185000000000002</v>
      </c>
      <c r="G28" s="64">
        <f>+E28*F28</f>
        <v>29064702.375</v>
      </c>
    </row>
    <row r="29" spans="1:7" s="19" customFormat="1" ht="12.75" customHeight="1" x14ac:dyDescent="0.25">
      <c r="B29" s="62">
        <f>+'Clase XX'!E6</f>
        <v>44490</v>
      </c>
      <c r="C29" s="64">
        <f>+$E$21*0.4</f>
        <v>400000</v>
      </c>
      <c r="D29" s="78">
        <f>+ROUND((('Clase XX'!$I$4*'Clase XX'!J6)+'Clase XX'!K6)/('Clase XX'!$I$4*'Clase XX'!J6),5)</f>
        <v>1.01434</v>
      </c>
      <c r="E29" s="64">
        <f>+C29*D29</f>
        <v>405736</v>
      </c>
      <c r="F29" s="76">
        <v>96.185000000000002</v>
      </c>
      <c r="G29" s="64">
        <f>+E29*F29</f>
        <v>39025717.160000004</v>
      </c>
    </row>
    <row r="30" spans="1:7" ht="9" customHeight="1" x14ac:dyDescent="0.25"/>
    <row r="31" spans="1:7" ht="45.75" customHeight="1" x14ac:dyDescent="0.25">
      <c r="A31" s="79" t="s">
        <v>47</v>
      </c>
      <c r="B31" s="79"/>
      <c r="C31" s="79"/>
      <c r="D31" s="79"/>
      <c r="E31" s="79"/>
      <c r="F31" s="79"/>
      <c r="G31" s="79"/>
    </row>
    <row r="32" spans="1:7" ht="61.5" customHeight="1" x14ac:dyDescent="0.25">
      <c r="A32" s="79"/>
      <c r="B32" s="79"/>
      <c r="C32" s="79"/>
      <c r="D32" s="79"/>
      <c r="E32" s="79"/>
      <c r="F32" s="79"/>
      <c r="G32" s="79"/>
    </row>
    <row r="33" spans="1:7" ht="23.25" customHeight="1" x14ac:dyDescent="0.25">
      <c r="A33" s="80" t="s">
        <v>5</v>
      </c>
      <c r="B33" s="80"/>
      <c r="C33" s="80"/>
      <c r="D33" s="80"/>
      <c r="E33" s="80"/>
      <c r="F33" s="80"/>
      <c r="G33" s="80"/>
    </row>
    <row r="34" spans="1:7" ht="31.5" customHeight="1" x14ac:dyDescent="0.25">
      <c r="A34" s="80"/>
      <c r="B34" s="80"/>
      <c r="C34" s="80"/>
      <c r="D34" s="80"/>
      <c r="E34" s="80"/>
      <c r="F34" s="80"/>
      <c r="G34" s="80"/>
    </row>
  </sheetData>
  <sheetProtection algorithmName="SHA-512" hashValue="QcDSFWt5VX66qJf9lNERIx6v2FSi2itPK/S7bK3yh671AWWj77PN6NmNUx2TzC0F0vx6J9dieO3RUoHVOszM9A==" saltValue="tYB+KO1dRTz47Sf3nU/wSA==" spinCount="100000" sheet="1" selectLockedCells="1"/>
  <mergeCells count="4">
    <mergeCell ref="A31:G32"/>
    <mergeCell ref="A33:G34"/>
    <mergeCell ref="B25:G25"/>
    <mergeCell ref="B7:G7"/>
  </mergeCells>
  <printOptions horizontalCentered="1"/>
  <pageMargins left="0.39370078740157483" right="0.39370078740157483" top="0.39370078740157483" bottom="0.39370078740157483" header="0" footer="0"/>
  <pageSetup scale="85" orientation="portrait" r:id="rId1"/>
  <ignoredErrors>
    <ignoredError sqref="F2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election activeCell="K8" sqref="K8"/>
    </sheetView>
  </sheetViews>
  <sheetFormatPr baseColWidth="10" defaultColWidth="14.7109375" defaultRowHeight="12" x14ac:dyDescent="0.25"/>
  <cols>
    <col min="1" max="1" width="21.7109375" style="20" bestFit="1" customWidth="1"/>
    <col min="2" max="2" width="10.42578125" style="20" customWidth="1"/>
    <col min="3" max="3" width="8.42578125" style="20" customWidth="1"/>
    <col min="4" max="4" width="4.42578125" style="21" customWidth="1"/>
    <col min="5" max="5" width="9.42578125" style="20" customWidth="1"/>
    <col min="6" max="6" width="6.42578125" style="20" customWidth="1"/>
    <col min="7" max="7" width="8.140625" style="20" customWidth="1"/>
    <col min="8" max="8" width="7.85546875" style="20" customWidth="1"/>
    <col min="9" max="12" width="11.28515625" style="20" customWidth="1"/>
    <col min="13" max="13" width="11.5703125" style="20" bestFit="1" customWidth="1"/>
    <col min="14" max="14" width="11.28515625" style="20" customWidth="1"/>
    <col min="15" max="15" width="10" style="20" bestFit="1" customWidth="1"/>
    <col min="16" max="16" width="6.42578125" style="20" customWidth="1"/>
    <col min="17" max="17" width="11.42578125" style="20" bestFit="1" customWidth="1"/>
    <col min="18" max="18" width="9.85546875" style="20" customWidth="1"/>
    <col min="19" max="19" width="13.42578125" style="20" customWidth="1"/>
    <col min="20" max="20" width="11.140625" style="20" customWidth="1"/>
    <col min="21" max="21" width="14.7109375" style="20"/>
    <col min="22" max="24" width="7.5703125" style="20" customWidth="1"/>
    <col min="25" max="25" width="3.42578125" style="20" customWidth="1"/>
    <col min="26" max="26" width="13.42578125" style="20" customWidth="1"/>
    <col min="27" max="27" width="11.140625" style="20" customWidth="1"/>
    <col min="28" max="28" width="14.7109375" style="20"/>
    <col min="29" max="29" width="11" style="20" bestFit="1" customWidth="1"/>
    <col min="30" max="258" width="14.7109375" style="20"/>
    <col min="259" max="259" width="21.7109375" style="20" bestFit="1" customWidth="1"/>
    <col min="260" max="265" width="14.7109375" style="20"/>
    <col min="266" max="270" width="0" style="20" hidden="1" customWidth="1"/>
    <col min="271" max="514" width="14.7109375" style="20"/>
    <col min="515" max="515" width="21.7109375" style="20" bestFit="1" customWidth="1"/>
    <col min="516" max="521" width="14.7109375" style="20"/>
    <col min="522" max="526" width="0" style="20" hidden="1" customWidth="1"/>
    <col min="527" max="770" width="14.7109375" style="20"/>
    <col min="771" max="771" width="21.7109375" style="20" bestFit="1" customWidth="1"/>
    <col min="772" max="777" width="14.7109375" style="20"/>
    <col min="778" max="782" width="0" style="20" hidden="1" customWidth="1"/>
    <col min="783" max="1026" width="14.7109375" style="20"/>
    <col min="1027" max="1027" width="21.7109375" style="20" bestFit="1" customWidth="1"/>
    <col min="1028" max="1033" width="14.7109375" style="20"/>
    <col min="1034" max="1038" width="0" style="20" hidden="1" customWidth="1"/>
    <col min="1039" max="1282" width="14.7109375" style="20"/>
    <col min="1283" max="1283" width="21.7109375" style="20" bestFit="1" customWidth="1"/>
    <col min="1284" max="1289" width="14.7109375" style="20"/>
    <col min="1290" max="1294" width="0" style="20" hidden="1" customWidth="1"/>
    <col min="1295" max="1538" width="14.7109375" style="20"/>
    <col min="1539" max="1539" width="21.7109375" style="20" bestFit="1" customWidth="1"/>
    <col min="1540" max="1545" width="14.7109375" style="20"/>
    <col min="1546" max="1550" width="0" style="20" hidden="1" customWidth="1"/>
    <col min="1551" max="1794" width="14.7109375" style="20"/>
    <col min="1795" max="1795" width="21.7109375" style="20" bestFit="1" customWidth="1"/>
    <col min="1796" max="1801" width="14.7109375" style="20"/>
    <col min="1802" max="1806" width="0" style="20" hidden="1" customWidth="1"/>
    <col min="1807" max="2050" width="14.7109375" style="20"/>
    <col min="2051" max="2051" width="21.7109375" style="20" bestFit="1" customWidth="1"/>
    <col min="2052" max="2057" width="14.7109375" style="20"/>
    <col min="2058" max="2062" width="0" style="20" hidden="1" customWidth="1"/>
    <col min="2063" max="2306" width="14.7109375" style="20"/>
    <col min="2307" max="2307" width="21.7109375" style="20" bestFit="1" customWidth="1"/>
    <col min="2308" max="2313" width="14.7109375" style="20"/>
    <col min="2314" max="2318" width="0" style="20" hidden="1" customWidth="1"/>
    <col min="2319" max="2562" width="14.7109375" style="20"/>
    <col min="2563" max="2563" width="21.7109375" style="20" bestFit="1" customWidth="1"/>
    <col min="2564" max="2569" width="14.7109375" style="20"/>
    <col min="2570" max="2574" width="0" style="20" hidden="1" customWidth="1"/>
    <col min="2575" max="2818" width="14.7109375" style="20"/>
    <col min="2819" max="2819" width="21.7109375" style="20" bestFit="1" customWidth="1"/>
    <col min="2820" max="2825" width="14.7109375" style="20"/>
    <col min="2826" max="2830" width="0" style="20" hidden="1" customWidth="1"/>
    <col min="2831" max="3074" width="14.7109375" style="20"/>
    <col min="3075" max="3075" width="21.7109375" style="20" bestFit="1" customWidth="1"/>
    <col min="3076" max="3081" width="14.7109375" style="20"/>
    <col min="3082" max="3086" width="0" style="20" hidden="1" customWidth="1"/>
    <col min="3087" max="3330" width="14.7109375" style="20"/>
    <col min="3331" max="3331" width="21.7109375" style="20" bestFit="1" customWidth="1"/>
    <col min="3332" max="3337" width="14.7109375" style="20"/>
    <col min="3338" max="3342" width="0" style="20" hidden="1" customWidth="1"/>
    <col min="3343" max="3586" width="14.7109375" style="20"/>
    <col min="3587" max="3587" width="21.7109375" style="20" bestFit="1" customWidth="1"/>
    <col min="3588" max="3593" width="14.7109375" style="20"/>
    <col min="3594" max="3598" width="0" style="20" hidden="1" customWidth="1"/>
    <col min="3599" max="3842" width="14.7109375" style="20"/>
    <col min="3843" max="3843" width="21.7109375" style="20" bestFit="1" customWidth="1"/>
    <col min="3844" max="3849" width="14.7109375" style="20"/>
    <col min="3850" max="3854" width="0" style="20" hidden="1" customWidth="1"/>
    <col min="3855" max="4098" width="14.7109375" style="20"/>
    <col min="4099" max="4099" width="21.7109375" style="20" bestFit="1" customWidth="1"/>
    <col min="4100" max="4105" width="14.7109375" style="20"/>
    <col min="4106" max="4110" width="0" style="20" hidden="1" customWidth="1"/>
    <col min="4111" max="4354" width="14.7109375" style="20"/>
    <col min="4355" max="4355" width="21.7109375" style="20" bestFit="1" customWidth="1"/>
    <col min="4356" max="4361" width="14.7109375" style="20"/>
    <col min="4362" max="4366" width="0" style="20" hidden="1" customWidth="1"/>
    <col min="4367" max="4610" width="14.7109375" style="20"/>
    <col min="4611" max="4611" width="21.7109375" style="20" bestFit="1" customWidth="1"/>
    <col min="4612" max="4617" width="14.7109375" style="20"/>
    <col min="4618" max="4622" width="0" style="20" hidden="1" customWidth="1"/>
    <col min="4623" max="4866" width="14.7109375" style="20"/>
    <col min="4867" max="4867" width="21.7109375" style="20" bestFit="1" customWidth="1"/>
    <col min="4868" max="4873" width="14.7109375" style="20"/>
    <col min="4874" max="4878" width="0" style="20" hidden="1" customWidth="1"/>
    <col min="4879" max="5122" width="14.7109375" style="20"/>
    <col min="5123" max="5123" width="21.7109375" style="20" bestFit="1" customWidth="1"/>
    <col min="5124" max="5129" width="14.7109375" style="20"/>
    <col min="5130" max="5134" width="0" style="20" hidden="1" customWidth="1"/>
    <col min="5135" max="5378" width="14.7109375" style="20"/>
    <col min="5379" max="5379" width="21.7109375" style="20" bestFit="1" customWidth="1"/>
    <col min="5380" max="5385" width="14.7109375" style="20"/>
    <col min="5386" max="5390" width="0" style="20" hidden="1" customWidth="1"/>
    <col min="5391" max="5634" width="14.7109375" style="20"/>
    <col min="5635" max="5635" width="21.7109375" style="20" bestFit="1" customWidth="1"/>
    <col min="5636" max="5641" width="14.7109375" style="20"/>
    <col min="5642" max="5646" width="0" style="20" hidden="1" customWidth="1"/>
    <col min="5647" max="5890" width="14.7109375" style="20"/>
    <col min="5891" max="5891" width="21.7109375" style="20" bestFit="1" customWidth="1"/>
    <col min="5892" max="5897" width="14.7109375" style="20"/>
    <col min="5898" max="5902" width="0" style="20" hidden="1" customWidth="1"/>
    <col min="5903" max="6146" width="14.7109375" style="20"/>
    <col min="6147" max="6147" width="21.7109375" style="20" bestFit="1" customWidth="1"/>
    <col min="6148" max="6153" width="14.7109375" style="20"/>
    <col min="6154" max="6158" width="0" style="20" hidden="1" customWidth="1"/>
    <col min="6159" max="6402" width="14.7109375" style="20"/>
    <col min="6403" max="6403" width="21.7109375" style="20" bestFit="1" customWidth="1"/>
    <col min="6404" max="6409" width="14.7109375" style="20"/>
    <col min="6410" max="6414" width="0" style="20" hidden="1" customWidth="1"/>
    <col min="6415" max="6658" width="14.7109375" style="20"/>
    <col min="6659" max="6659" width="21.7109375" style="20" bestFit="1" customWidth="1"/>
    <col min="6660" max="6665" width="14.7109375" style="20"/>
    <col min="6666" max="6670" width="0" style="20" hidden="1" customWidth="1"/>
    <col min="6671" max="6914" width="14.7109375" style="20"/>
    <col min="6915" max="6915" width="21.7109375" style="20" bestFit="1" customWidth="1"/>
    <col min="6916" max="6921" width="14.7109375" style="20"/>
    <col min="6922" max="6926" width="0" style="20" hidden="1" customWidth="1"/>
    <col min="6927" max="7170" width="14.7109375" style="20"/>
    <col min="7171" max="7171" width="21.7109375" style="20" bestFit="1" customWidth="1"/>
    <col min="7172" max="7177" width="14.7109375" style="20"/>
    <col min="7178" max="7182" width="0" style="20" hidden="1" customWidth="1"/>
    <col min="7183" max="7426" width="14.7109375" style="20"/>
    <col min="7427" max="7427" width="21.7109375" style="20" bestFit="1" customWidth="1"/>
    <col min="7428" max="7433" width="14.7109375" style="20"/>
    <col min="7434" max="7438" width="0" style="20" hidden="1" customWidth="1"/>
    <col min="7439" max="7682" width="14.7109375" style="20"/>
    <col min="7683" max="7683" width="21.7109375" style="20" bestFit="1" customWidth="1"/>
    <col min="7684" max="7689" width="14.7109375" style="20"/>
    <col min="7690" max="7694" width="0" style="20" hidden="1" customWidth="1"/>
    <col min="7695" max="7938" width="14.7109375" style="20"/>
    <col min="7939" max="7939" width="21.7109375" style="20" bestFit="1" customWidth="1"/>
    <col min="7940" max="7945" width="14.7109375" style="20"/>
    <col min="7946" max="7950" width="0" style="20" hidden="1" customWidth="1"/>
    <col min="7951" max="8194" width="14.7109375" style="20"/>
    <col min="8195" max="8195" width="21.7109375" style="20" bestFit="1" customWidth="1"/>
    <col min="8196" max="8201" width="14.7109375" style="20"/>
    <col min="8202" max="8206" width="0" style="20" hidden="1" customWidth="1"/>
    <col min="8207" max="8450" width="14.7109375" style="20"/>
    <col min="8451" max="8451" width="21.7109375" style="20" bestFit="1" customWidth="1"/>
    <col min="8452" max="8457" width="14.7109375" style="20"/>
    <col min="8458" max="8462" width="0" style="20" hidden="1" customWidth="1"/>
    <col min="8463" max="8706" width="14.7109375" style="20"/>
    <col min="8707" max="8707" width="21.7109375" style="20" bestFit="1" customWidth="1"/>
    <col min="8708" max="8713" width="14.7109375" style="20"/>
    <col min="8714" max="8718" width="0" style="20" hidden="1" customWidth="1"/>
    <col min="8719" max="8962" width="14.7109375" style="20"/>
    <col min="8963" max="8963" width="21.7109375" style="20" bestFit="1" customWidth="1"/>
    <col min="8964" max="8969" width="14.7109375" style="20"/>
    <col min="8970" max="8974" width="0" style="20" hidden="1" customWidth="1"/>
    <col min="8975" max="9218" width="14.7109375" style="20"/>
    <col min="9219" max="9219" width="21.7109375" style="20" bestFit="1" customWidth="1"/>
    <col min="9220" max="9225" width="14.7109375" style="20"/>
    <col min="9226" max="9230" width="0" style="20" hidden="1" customWidth="1"/>
    <col min="9231" max="9474" width="14.7109375" style="20"/>
    <col min="9475" max="9475" width="21.7109375" style="20" bestFit="1" customWidth="1"/>
    <col min="9476" max="9481" width="14.7109375" style="20"/>
    <col min="9482" max="9486" width="0" style="20" hidden="1" customWidth="1"/>
    <col min="9487" max="9730" width="14.7109375" style="20"/>
    <col min="9731" max="9731" width="21.7109375" style="20" bestFit="1" customWidth="1"/>
    <col min="9732" max="9737" width="14.7109375" style="20"/>
    <col min="9738" max="9742" width="0" style="20" hidden="1" customWidth="1"/>
    <col min="9743" max="9986" width="14.7109375" style="20"/>
    <col min="9987" max="9987" width="21.7109375" style="20" bestFit="1" customWidth="1"/>
    <col min="9988" max="9993" width="14.7109375" style="20"/>
    <col min="9994" max="9998" width="0" style="20" hidden="1" customWidth="1"/>
    <col min="9999" max="10242" width="14.7109375" style="20"/>
    <col min="10243" max="10243" width="21.7109375" style="20" bestFit="1" customWidth="1"/>
    <col min="10244" max="10249" width="14.7109375" style="20"/>
    <col min="10250" max="10254" width="0" style="20" hidden="1" customWidth="1"/>
    <col min="10255" max="10498" width="14.7109375" style="20"/>
    <col min="10499" max="10499" width="21.7109375" style="20" bestFit="1" customWidth="1"/>
    <col min="10500" max="10505" width="14.7109375" style="20"/>
    <col min="10506" max="10510" width="0" style="20" hidden="1" customWidth="1"/>
    <col min="10511" max="10754" width="14.7109375" style="20"/>
    <col min="10755" max="10755" width="21.7109375" style="20" bestFit="1" customWidth="1"/>
    <col min="10756" max="10761" width="14.7109375" style="20"/>
    <col min="10762" max="10766" width="0" style="20" hidden="1" customWidth="1"/>
    <col min="10767" max="11010" width="14.7109375" style="20"/>
    <col min="11011" max="11011" width="21.7109375" style="20" bestFit="1" customWidth="1"/>
    <col min="11012" max="11017" width="14.7109375" style="20"/>
    <col min="11018" max="11022" width="0" style="20" hidden="1" customWidth="1"/>
    <col min="11023" max="11266" width="14.7109375" style="20"/>
    <col min="11267" max="11267" width="21.7109375" style="20" bestFit="1" customWidth="1"/>
    <col min="11268" max="11273" width="14.7109375" style="20"/>
    <col min="11274" max="11278" width="0" style="20" hidden="1" customWidth="1"/>
    <col min="11279" max="11522" width="14.7109375" style="20"/>
    <col min="11523" max="11523" width="21.7109375" style="20" bestFit="1" customWidth="1"/>
    <col min="11524" max="11529" width="14.7109375" style="20"/>
    <col min="11530" max="11534" width="0" style="20" hidden="1" customWidth="1"/>
    <col min="11535" max="11778" width="14.7109375" style="20"/>
    <col min="11779" max="11779" width="21.7109375" style="20" bestFit="1" customWidth="1"/>
    <col min="11780" max="11785" width="14.7109375" style="20"/>
    <col min="11786" max="11790" width="0" style="20" hidden="1" customWidth="1"/>
    <col min="11791" max="12034" width="14.7109375" style="20"/>
    <col min="12035" max="12035" width="21.7109375" style="20" bestFit="1" customWidth="1"/>
    <col min="12036" max="12041" width="14.7109375" style="20"/>
    <col min="12042" max="12046" width="0" style="20" hidden="1" customWidth="1"/>
    <col min="12047" max="12290" width="14.7109375" style="20"/>
    <col min="12291" max="12291" width="21.7109375" style="20" bestFit="1" customWidth="1"/>
    <col min="12292" max="12297" width="14.7109375" style="20"/>
    <col min="12298" max="12302" width="0" style="20" hidden="1" customWidth="1"/>
    <col min="12303" max="12546" width="14.7109375" style="20"/>
    <col min="12547" max="12547" width="21.7109375" style="20" bestFit="1" customWidth="1"/>
    <col min="12548" max="12553" width="14.7109375" style="20"/>
    <col min="12554" max="12558" width="0" style="20" hidden="1" customWidth="1"/>
    <col min="12559" max="12802" width="14.7109375" style="20"/>
    <col min="12803" max="12803" width="21.7109375" style="20" bestFit="1" customWidth="1"/>
    <col min="12804" max="12809" width="14.7109375" style="20"/>
    <col min="12810" max="12814" width="0" style="20" hidden="1" customWidth="1"/>
    <col min="12815" max="13058" width="14.7109375" style="20"/>
    <col min="13059" max="13059" width="21.7109375" style="20" bestFit="1" customWidth="1"/>
    <col min="13060" max="13065" width="14.7109375" style="20"/>
    <col min="13066" max="13070" width="0" style="20" hidden="1" customWidth="1"/>
    <col min="13071" max="13314" width="14.7109375" style="20"/>
    <col min="13315" max="13315" width="21.7109375" style="20" bestFit="1" customWidth="1"/>
    <col min="13316" max="13321" width="14.7109375" style="20"/>
    <col min="13322" max="13326" width="0" style="20" hidden="1" customWidth="1"/>
    <col min="13327" max="13570" width="14.7109375" style="20"/>
    <col min="13571" max="13571" width="21.7109375" style="20" bestFit="1" customWidth="1"/>
    <col min="13572" max="13577" width="14.7109375" style="20"/>
    <col min="13578" max="13582" width="0" style="20" hidden="1" customWidth="1"/>
    <col min="13583" max="13826" width="14.7109375" style="20"/>
    <col min="13827" max="13827" width="21.7109375" style="20" bestFit="1" customWidth="1"/>
    <col min="13828" max="13833" width="14.7109375" style="20"/>
    <col min="13834" max="13838" width="0" style="20" hidden="1" customWidth="1"/>
    <col min="13839" max="14082" width="14.7109375" style="20"/>
    <col min="14083" max="14083" width="21.7109375" style="20" bestFit="1" customWidth="1"/>
    <col min="14084" max="14089" width="14.7109375" style="20"/>
    <col min="14090" max="14094" width="0" style="20" hidden="1" customWidth="1"/>
    <col min="14095" max="14338" width="14.7109375" style="20"/>
    <col min="14339" max="14339" width="21.7109375" style="20" bestFit="1" customWidth="1"/>
    <col min="14340" max="14345" width="14.7109375" style="20"/>
    <col min="14346" max="14350" width="0" style="20" hidden="1" customWidth="1"/>
    <col min="14351" max="14594" width="14.7109375" style="20"/>
    <col min="14595" max="14595" width="21.7109375" style="20" bestFit="1" customWidth="1"/>
    <col min="14596" max="14601" width="14.7109375" style="20"/>
    <col min="14602" max="14606" width="0" style="20" hidden="1" customWidth="1"/>
    <col min="14607" max="14850" width="14.7109375" style="20"/>
    <col min="14851" max="14851" width="21.7109375" style="20" bestFit="1" customWidth="1"/>
    <col min="14852" max="14857" width="14.7109375" style="20"/>
    <col min="14858" max="14862" width="0" style="20" hidden="1" customWidth="1"/>
    <col min="14863" max="15106" width="14.7109375" style="20"/>
    <col min="15107" max="15107" width="21.7109375" style="20" bestFit="1" customWidth="1"/>
    <col min="15108" max="15113" width="14.7109375" style="20"/>
    <col min="15114" max="15118" width="0" style="20" hidden="1" customWidth="1"/>
    <col min="15119" max="15362" width="14.7109375" style="20"/>
    <col min="15363" max="15363" width="21.7109375" style="20" bestFit="1" customWidth="1"/>
    <col min="15364" max="15369" width="14.7109375" style="20"/>
    <col min="15370" max="15374" width="0" style="20" hidden="1" customWidth="1"/>
    <col min="15375" max="15618" width="14.7109375" style="20"/>
    <col min="15619" max="15619" width="21.7109375" style="20" bestFit="1" customWidth="1"/>
    <col min="15620" max="15625" width="14.7109375" style="20"/>
    <col min="15626" max="15630" width="0" style="20" hidden="1" customWidth="1"/>
    <col min="15631" max="15874" width="14.7109375" style="20"/>
    <col min="15875" max="15875" width="21.7109375" style="20" bestFit="1" customWidth="1"/>
    <col min="15876" max="15881" width="14.7109375" style="20"/>
    <col min="15882" max="15886" width="0" style="20" hidden="1" customWidth="1"/>
    <col min="15887" max="16130" width="14.7109375" style="20"/>
    <col min="16131" max="16131" width="21.7109375" style="20" bestFit="1" customWidth="1"/>
    <col min="16132" max="16137" width="14.7109375" style="20"/>
    <col min="16138" max="16142" width="0" style="20" hidden="1" customWidth="1"/>
    <col min="16143" max="16384" width="14.7109375" style="20"/>
  </cols>
  <sheetData>
    <row r="1" spans="1:29" ht="15" customHeight="1" x14ac:dyDescent="0.25">
      <c r="E1" s="22"/>
      <c r="F1" s="22"/>
      <c r="G1" s="22"/>
      <c r="H1" s="22"/>
      <c r="I1" s="22"/>
      <c r="J1" s="22"/>
      <c r="K1" s="22"/>
      <c r="L1" s="22"/>
      <c r="M1" s="22"/>
      <c r="N1" s="22"/>
      <c r="O1" s="23"/>
      <c r="P1" s="23"/>
      <c r="Q1" s="23"/>
    </row>
    <row r="2" spans="1:29" s="30" customFormat="1" ht="14.25" customHeight="1" x14ac:dyDescent="0.25">
      <c r="A2" s="24" t="str">
        <f>YPF!B7</f>
        <v>ON YPF Clase XX - Dólar Linked</v>
      </c>
      <c r="B2" s="24"/>
      <c r="C2" s="24"/>
      <c r="D2" s="25" t="s">
        <v>18</v>
      </c>
      <c r="E2" s="2" t="s">
        <v>17</v>
      </c>
      <c r="F2" s="2" t="s">
        <v>19</v>
      </c>
      <c r="G2" s="2" t="s">
        <v>6</v>
      </c>
      <c r="H2" s="2" t="s">
        <v>22</v>
      </c>
      <c r="I2" s="2" t="s">
        <v>23</v>
      </c>
      <c r="J2" s="2" t="s">
        <v>26</v>
      </c>
      <c r="K2" s="2" t="s">
        <v>27</v>
      </c>
      <c r="L2" s="2" t="s">
        <v>25</v>
      </c>
      <c r="M2" s="2" t="s">
        <v>24</v>
      </c>
      <c r="N2" s="2" t="s">
        <v>0</v>
      </c>
      <c r="O2" s="26" t="s">
        <v>1</v>
      </c>
      <c r="P2" s="27"/>
      <c r="Q2" s="26"/>
      <c r="R2" s="26"/>
      <c r="S2" s="28"/>
      <c r="T2" s="29"/>
      <c r="U2" s="28"/>
      <c r="Z2" s="28"/>
      <c r="AA2" s="29"/>
      <c r="AB2" s="28"/>
    </row>
    <row r="3" spans="1:29" ht="15" customHeight="1" x14ac:dyDescent="0.25">
      <c r="A3" s="31" t="s">
        <v>2</v>
      </c>
      <c r="B3" s="31"/>
      <c r="C3" s="32">
        <f>YPF!E12</f>
        <v>100</v>
      </c>
      <c r="D3" s="33"/>
      <c r="E3" s="34">
        <f>C5</f>
        <v>44399</v>
      </c>
      <c r="F3" s="3"/>
      <c r="G3" s="3"/>
      <c r="H3" s="3"/>
      <c r="I3" s="3"/>
      <c r="J3" s="3"/>
      <c r="K3" s="3"/>
      <c r="L3" s="3"/>
      <c r="M3" s="3"/>
      <c r="N3" s="3"/>
      <c r="O3" s="35"/>
      <c r="P3" s="36"/>
      <c r="Q3" s="35"/>
      <c r="R3" s="35"/>
      <c r="S3" s="37"/>
      <c r="V3" s="38"/>
      <c r="Z3" s="37"/>
      <c r="AC3" s="38"/>
    </row>
    <row r="4" spans="1:29" ht="15" customHeight="1" x14ac:dyDescent="0.25">
      <c r="A4" s="31"/>
      <c r="B4" s="31"/>
      <c r="C4" s="32"/>
      <c r="D4" s="39">
        <v>0</v>
      </c>
      <c r="E4" s="40">
        <v>44399</v>
      </c>
      <c r="F4" s="41">
        <f>E4-$E$3</f>
        <v>0</v>
      </c>
      <c r="G4" s="46">
        <f t="shared" ref="G4:G6" si="0">$C$8</f>
        <v>5.7500000000000002E-2</v>
      </c>
      <c r="H4" s="42"/>
      <c r="I4" s="43">
        <f>+YPF!E21</f>
        <v>1000000</v>
      </c>
      <c r="J4" s="61">
        <v>0.3</v>
      </c>
      <c r="K4" s="61"/>
      <c r="L4" s="43">
        <f>+TRUNC((($I$4*J4)+K4),2)</f>
        <v>300000</v>
      </c>
      <c r="M4" s="42"/>
      <c r="N4" s="42"/>
      <c r="O4" s="35">
        <f>-L4</f>
        <v>-300000</v>
      </c>
      <c r="P4" s="36"/>
      <c r="Q4" s="4"/>
      <c r="R4" s="44"/>
      <c r="S4" s="70">
        <v>0.3</v>
      </c>
      <c r="T4" s="71">
        <v>0.3</v>
      </c>
      <c r="U4" s="71">
        <v>0.4</v>
      </c>
      <c r="V4" s="38"/>
      <c r="Z4" s="70">
        <v>0.3</v>
      </c>
      <c r="AA4" s="71">
        <v>0.3</v>
      </c>
      <c r="AB4" s="71">
        <v>0.4</v>
      </c>
      <c r="AC4" s="38" t="s">
        <v>44</v>
      </c>
    </row>
    <row r="5" spans="1:29" ht="15" customHeight="1" x14ac:dyDescent="0.25">
      <c r="A5" s="22" t="s">
        <v>7</v>
      </c>
      <c r="B5" s="22"/>
      <c r="C5" s="42">
        <f>YPF!E9</f>
        <v>44399</v>
      </c>
      <c r="D5" s="60">
        <v>1.5</v>
      </c>
      <c r="E5" s="42">
        <v>44445</v>
      </c>
      <c r="F5" s="41">
        <f>+E5-E4</f>
        <v>46</v>
      </c>
      <c r="G5" s="46">
        <f t="shared" si="0"/>
        <v>5.7500000000000002E-2</v>
      </c>
      <c r="H5" s="42"/>
      <c r="I5" s="43"/>
      <c r="J5" s="61">
        <v>0.3</v>
      </c>
      <c r="K5" s="43">
        <f>+YEARFRAC(E4,E5,3)*G5*L4</f>
        <v>2173.9726027397264</v>
      </c>
      <c r="L5" s="43">
        <f>+YPF!E28</f>
        <v>302175</v>
      </c>
      <c r="M5" s="42"/>
      <c r="N5" s="42"/>
      <c r="O5" s="35">
        <f>-L5</f>
        <v>-302175</v>
      </c>
      <c r="P5" s="36"/>
      <c r="Q5" s="4"/>
      <c r="R5" s="44"/>
      <c r="S5" s="35"/>
      <c r="T5" s="35"/>
      <c r="U5" s="47"/>
      <c r="V5" s="47"/>
      <c r="Z5" s="35"/>
      <c r="AA5" s="35"/>
      <c r="AB5" s="47"/>
      <c r="AC5" s="47">
        <f>+SUM(AC7:AC28)</f>
        <v>995057.2500249272</v>
      </c>
    </row>
    <row r="6" spans="1:29" ht="15" customHeight="1" x14ac:dyDescent="0.25">
      <c r="A6" s="22" t="s">
        <v>8</v>
      </c>
      <c r="B6" s="22"/>
      <c r="C6" s="42">
        <f>EDATE(C5,24)</f>
        <v>45129</v>
      </c>
      <c r="D6" s="39">
        <v>3</v>
      </c>
      <c r="E6" s="42">
        <v>44490</v>
      </c>
      <c r="F6" s="41">
        <f>+E6-E4</f>
        <v>91</v>
      </c>
      <c r="G6" s="46">
        <f t="shared" si="0"/>
        <v>5.7500000000000002E-2</v>
      </c>
      <c r="H6" s="42"/>
      <c r="I6" s="43"/>
      <c r="J6" s="61">
        <v>0.4</v>
      </c>
      <c r="K6" s="43">
        <f>+YEARFRAC(E4,E6,3)*G6*J6*I4</f>
        <v>5734.2465753424667</v>
      </c>
      <c r="L6" s="43">
        <f>+YPF!E29</f>
        <v>405736</v>
      </c>
      <c r="M6" s="42"/>
      <c r="N6" s="42"/>
      <c r="O6" s="35">
        <f>-L6</f>
        <v>-405736</v>
      </c>
      <c r="P6" s="36"/>
      <c r="Q6" s="4"/>
      <c r="R6" s="44"/>
      <c r="S6" s="83" t="s">
        <v>43</v>
      </c>
      <c r="T6" s="83"/>
      <c r="U6" s="83"/>
      <c r="V6" s="83"/>
      <c r="W6" s="83"/>
      <c r="X6" s="83"/>
      <c r="Z6" s="84" t="s">
        <v>45</v>
      </c>
      <c r="AA6" s="84"/>
      <c r="AB6" s="84"/>
      <c r="AC6" s="84"/>
    </row>
    <row r="7" spans="1:29" ht="15" customHeight="1" x14ac:dyDescent="0.25">
      <c r="D7" s="45">
        <v>6</v>
      </c>
      <c r="E7" s="42">
        <v>44583</v>
      </c>
      <c r="F7" s="41">
        <f t="shared" ref="F7:F28" si="1">E7-$E$3</f>
        <v>184</v>
      </c>
      <c r="G7" s="46">
        <f t="shared" ref="G7:G27" si="2">$C$8</f>
        <v>5.7500000000000002E-2</v>
      </c>
      <c r="H7" s="35">
        <v>0</v>
      </c>
      <c r="I7" s="32">
        <f>+I4-M7</f>
        <v>1000000</v>
      </c>
      <c r="J7" s="32"/>
      <c r="K7" s="43"/>
      <c r="L7" s="32"/>
      <c r="M7" s="32">
        <f t="shared" ref="M7:M14" si="3">+I6*H7</f>
        <v>0</v>
      </c>
      <c r="N7" s="43">
        <f>+YEARFRAC(E4,E7,3)*(G7)*I4</f>
        <v>28986.301369863017</v>
      </c>
      <c r="O7" s="35">
        <f>+N7+M7</f>
        <v>28986.301369863017</v>
      </c>
      <c r="P7" s="36"/>
      <c r="Q7" s="1"/>
      <c r="R7" s="44"/>
      <c r="S7" s="35">
        <f>+M7*$S$4</f>
        <v>0</v>
      </c>
      <c r="T7" s="35">
        <f>+M7*$T$4</f>
        <v>0</v>
      </c>
      <c r="U7" s="35">
        <f>+M7*$U$4</f>
        <v>0</v>
      </c>
      <c r="V7" s="47">
        <f>+$F7/365*S7/$I$4</f>
        <v>0</v>
      </c>
      <c r="W7" s="47">
        <f t="shared" ref="W7:X7" si="4">+$F7/365*T7/$I$4</f>
        <v>0</v>
      </c>
      <c r="X7" s="47">
        <f t="shared" si="4"/>
        <v>0</v>
      </c>
      <c r="Z7" s="35">
        <f>((($E7-$E$4)/365)/(1+$C$8/2))*($O7*Z$4/((1+$C$8/2)^((($E7-$E$4)/180))))</f>
        <v>4139.479802341607</v>
      </c>
      <c r="AA7" s="35">
        <f>(((F6)/365)/(1+$C$8/2))*($O7*AA$4/((1+$C$8/2)^(((F6)/180))))</f>
        <v>2077.4444772329471</v>
      </c>
      <c r="AB7" s="35">
        <f>((F5/365)/(1+$C$8/2))*($O7*AB$4/((1+$C$8/2)^((F5/180))))</f>
        <v>1410.1394529575985</v>
      </c>
      <c r="AC7" s="47">
        <f>+O7/(1+$C$8/2)^(F7/180)</f>
        <v>28158.492645480237</v>
      </c>
    </row>
    <row r="8" spans="1:29" ht="15" customHeight="1" x14ac:dyDescent="0.25">
      <c r="A8" s="48" t="s">
        <v>14</v>
      </c>
      <c r="B8" s="48"/>
      <c r="C8" s="49">
        <f>YPF!E20</f>
        <v>5.7500000000000002E-2</v>
      </c>
      <c r="D8" s="45">
        <v>12</v>
      </c>
      <c r="E8" s="42">
        <v>44764</v>
      </c>
      <c r="F8" s="41">
        <f t="shared" si="1"/>
        <v>365</v>
      </c>
      <c r="G8" s="46">
        <f t="shared" si="2"/>
        <v>5.7500000000000002E-2</v>
      </c>
      <c r="H8" s="35">
        <v>0</v>
      </c>
      <c r="I8" s="32">
        <f t="shared" ref="I8:I28" si="5">+I7-M8</f>
        <v>1000000</v>
      </c>
      <c r="J8" s="32"/>
      <c r="K8" s="43"/>
      <c r="L8" s="32"/>
      <c r="M8" s="32">
        <f t="shared" si="3"/>
        <v>0</v>
      </c>
      <c r="N8" s="43">
        <f t="shared" ref="N8:N11" si="6">+YEARFRAC(E7,E8,3)*(G8)*I7</f>
        <v>28513.698630136987</v>
      </c>
      <c r="O8" s="35">
        <f t="shared" ref="O8:O28" si="7">+N8+M8</f>
        <v>28513.698630136987</v>
      </c>
      <c r="P8" s="36"/>
      <c r="Q8" s="1"/>
      <c r="R8" s="44"/>
      <c r="S8" s="35">
        <f t="shared" ref="S8:S28" si="8">+M8*$S$4</f>
        <v>0</v>
      </c>
      <c r="T8" s="35">
        <f t="shared" ref="T8:T28" si="9">+M8*$T$4</f>
        <v>0</v>
      </c>
      <c r="U8" s="35">
        <f t="shared" ref="U8:U28" si="10">+M8*$U$4</f>
        <v>0</v>
      </c>
      <c r="V8" s="47">
        <f t="shared" ref="V8:V14" si="11">+$F8/365*S8/$I$4</f>
        <v>0</v>
      </c>
      <c r="W8" s="47">
        <f t="shared" ref="W8:W14" si="12">+$F8/365*T8/$I$4</f>
        <v>0</v>
      </c>
      <c r="X8" s="47">
        <f t="shared" ref="X8:X14" si="13">+$F8/365*U8/$I$4</f>
        <v>0</v>
      </c>
      <c r="Z8" s="35">
        <f t="shared" ref="Z8:Z28" si="14">((($E8-$E$4)/365)/(1+$C$8/2))*($O8*Z$4/((1+$C$8/2)^((($E8-$E$4)/180))))</f>
        <v>7850.6085859415471</v>
      </c>
      <c r="AA8" s="35">
        <f>(((F8)/365)/(1+$C$8/2))*($O8*AA$4/((1+$C$8/2)^(((F8)/180))))</f>
        <v>7850.6085859415471</v>
      </c>
      <c r="AB8" s="35">
        <f t="shared" ref="AB8:AB28" si="15">((F8/365)/(1+$C$8/2))*($O8*AB$4/((1+$C$8/2)^((F8/180))))</f>
        <v>10467.47811458873</v>
      </c>
      <c r="AC8" s="47">
        <f t="shared" ref="AC8:AC28" si="16">+O8/(1+$C$8/2)^(F8/180)</f>
        <v>26921.045275957891</v>
      </c>
    </row>
    <row r="9" spans="1:29" ht="15" customHeight="1" x14ac:dyDescent="0.25">
      <c r="A9" s="50" t="s">
        <v>21</v>
      </c>
      <c r="B9" s="50"/>
      <c r="C9" s="51">
        <f>XIRR(O4:O28,E4:E28)</f>
        <v>5.8314403891563421E-2</v>
      </c>
      <c r="D9" s="45">
        <v>18</v>
      </c>
      <c r="E9" s="42">
        <v>44948</v>
      </c>
      <c r="F9" s="41">
        <f t="shared" si="1"/>
        <v>549</v>
      </c>
      <c r="G9" s="46">
        <f t="shared" si="2"/>
        <v>5.7500000000000002E-2</v>
      </c>
      <c r="H9" s="35">
        <v>0</v>
      </c>
      <c r="I9" s="32">
        <f t="shared" si="5"/>
        <v>1000000</v>
      </c>
      <c r="J9" s="32"/>
      <c r="K9" s="43"/>
      <c r="L9" s="32"/>
      <c r="M9" s="32">
        <f t="shared" si="3"/>
        <v>0</v>
      </c>
      <c r="N9" s="43">
        <f t="shared" si="6"/>
        <v>28986.301369863017</v>
      </c>
      <c r="O9" s="35">
        <f t="shared" si="7"/>
        <v>28986.301369863017</v>
      </c>
      <c r="P9" s="36"/>
      <c r="Q9" s="1"/>
      <c r="R9" s="44"/>
      <c r="S9" s="35">
        <f t="shared" si="8"/>
        <v>0</v>
      </c>
      <c r="T9" s="35">
        <f t="shared" si="9"/>
        <v>0</v>
      </c>
      <c r="U9" s="35">
        <f t="shared" si="10"/>
        <v>0</v>
      </c>
      <c r="V9" s="47">
        <f t="shared" si="11"/>
        <v>0</v>
      </c>
      <c r="W9" s="47">
        <f t="shared" si="12"/>
        <v>0</v>
      </c>
      <c r="X9" s="47">
        <f t="shared" si="13"/>
        <v>0</v>
      </c>
      <c r="Z9" s="35">
        <f t="shared" si="14"/>
        <v>11661.076720369798</v>
      </c>
      <c r="AA9" s="35">
        <f t="shared" ref="AA9:AA28" si="17">(((F9)/365)/(1+$C$8/2))*($O9*AA$4/((1+$C$8/2)^(((F9)/180))))</f>
        <v>11661.076720369798</v>
      </c>
      <c r="AB9" s="35">
        <f t="shared" si="15"/>
        <v>15548.102293826398</v>
      </c>
      <c r="AC9" s="47">
        <f t="shared" si="16"/>
        <v>26585.679579656091</v>
      </c>
    </row>
    <row r="10" spans="1:29" ht="15" customHeight="1" x14ac:dyDescent="0.25">
      <c r="D10" s="45">
        <v>24</v>
      </c>
      <c r="E10" s="42">
        <v>45129</v>
      </c>
      <c r="F10" s="41">
        <f t="shared" si="1"/>
        <v>730</v>
      </c>
      <c r="G10" s="46">
        <f t="shared" si="2"/>
        <v>5.7500000000000002E-2</v>
      </c>
      <c r="H10" s="35">
        <v>0</v>
      </c>
      <c r="I10" s="32">
        <f t="shared" si="5"/>
        <v>1000000</v>
      </c>
      <c r="J10" s="32"/>
      <c r="K10" s="43"/>
      <c r="L10" s="32"/>
      <c r="M10" s="32">
        <f t="shared" si="3"/>
        <v>0</v>
      </c>
      <c r="N10" s="43">
        <f t="shared" si="6"/>
        <v>28513.698630136987</v>
      </c>
      <c r="O10" s="35">
        <f t="shared" si="7"/>
        <v>28513.698630136987</v>
      </c>
      <c r="P10" s="36"/>
      <c r="Q10" s="1"/>
      <c r="R10" s="44"/>
      <c r="S10" s="35">
        <f t="shared" si="8"/>
        <v>0</v>
      </c>
      <c r="T10" s="35">
        <f t="shared" si="9"/>
        <v>0</v>
      </c>
      <c r="U10" s="35">
        <f t="shared" si="10"/>
        <v>0</v>
      </c>
      <c r="V10" s="47">
        <f t="shared" si="11"/>
        <v>0</v>
      </c>
      <c r="W10" s="47">
        <f t="shared" si="12"/>
        <v>0</v>
      </c>
      <c r="X10" s="47">
        <f t="shared" si="13"/>
        <v>0</v>
      </c>
      <c r="Z10" s="35">
        <f t="shared" si="14"/>
        <v>14824.21427871708</v>
      </c>
      <c r="AA10" s="35">
        <f t="shared" si="17"/>
        <v>14824.21427871708</v>
      </c>
      <c r="AB10" s="35">
        <f t="shared" si="15"/>
        <v>19765.619038289438</v>
      </c>
      <c r="AC10" s="47">
        <f t="shared" si="16"/>
        <v>25417.350732050327</v>
      </c>
    </row>
    <row r="11" spans="1:29" ht="15" customHeight="1" x14ac:dyDescent="0.25">
      <c r="A11" s="50" t="s">
        <v>15</v>
      </c>
      <c r="B11" s="50"/>
      <c r="C11" s="52">
        <f>+SUM(Z7:AB28)/AC5</f>
        <v>6.1021841634437495</v>
      </c>
      <c r="D11" s="45">
        <f>+D10+6</f>
        <v>30</v>
      </c>
      <c r="E11" s="42">
        <v>45313</v>
      </c>
      <c r="F11" s="41">
        <f t="shared" si="1"/>
        <v>914</v>
      </c>
      <c r="G11" s="46">
        <f t="shared" si="2"/>
        <v>5.7500000000000002E-2</v>
      </c>
      <c r="H11" s="35">
        <v>0</v>
      </c>
      <c r="I11" s="32">
        <f t="shared" si="5"/>
        <v>1000000</v>
      </c>
      <c r="J11" s="32"/>
      <c r="K11" s="43"/>
      <c r="L11" s="32"/>
      <c r="M11" s="32">
        <f t="shared" si="3"/>
        <v>0</v>
      </c>
      <c r="N11" s="43">
        <f t="shared" si="6"/>
        <v>28986.301369863017</v>
      </c>
      <c r="O11" s="35">
        <f t="shared" si="7"/>
        <v>28986.301369863017</v>
      </c>
      <c r="P11" s="36"/>
      <c r="Q11" s="1"/>
      <c r="R11" s="44"/>
      <c r="S11" s="35">
        <f t="shared" si="8"/>
        <v>0</v>
      </c>
      <c r="T11" s="35">
        <f t="shared" si="9"/>
        <v>0</v>
      </c>
      <c r="U11" s="35">
        <f t="shared" si="10"/>
        <v>0</v>
      </c>
      <c r="V11" s="47">
        <f t="shared" si="11"/>
        <v>0</v>
      </c>
      <c r="W11" s="47">
        <f t="shared" si="12"/>
        <v>0</v>
      </c>
      <c r="X11" s="47">
        <f t="shared" si="13"/>
        <v>0</v>
      </c>
      <c r="Z11" s="35">
        <f t="shared" si="14"/>
        <v>18329.510510230219</v>
      </c>
      <c r="AA11" s="35">
        <f t="shared" si="17"/>
        <v>18329.510510230219</v>
      </c>
      <c r="AB11" s="35">
        <f t="shared" si="15"/>
        <v>24439.347346973631</v>
      </c>
      <c r="AC11" s="47">
        <f t="shared" si="16"/>
        <v>25100.717130382054</v>
      </c>
    </row>
    <row r="12" spans="1:29" ht="15" customHeight="1" x14ac:dyDescent="0.25">
      <c r="A12" s="50" t="s">
        <v>16</v>
      </c>
      <c r="B12" s="53">
        <f>+C12*365</f>
        <v>2781.0142857142855</v>
      </c>
      <c r="C12" s="52">
        <f>+SUM(V7:X28)</f>
        <v>7.6192172211350284</v>
      </c>
      <c r="D12" s="45">
        <f t="shared" ref="D12:D28" si="18">+D11+6</f>
        <v>36</v>
      </c>
      <c r="E12" s="42">
        <v>45495</v>
      </c>
      <c r="F12" s="41">
        <f t="shared" ref="F12:F14" si="19">E12-$E$3</f>
        <v>1096</v>
      </c>
      <c r="G12" s="46">
        <f t="shared" si="2"/>
        <v>5.7500000000000002E-2</v>
      </c>
      <c r="H12" s="35">
        <v>0</v>
      </c>
      <c r="I12" s="32">
        <f t="shared" si="5"/>
        <v>1000000</v>
      </c>
      <c r="J12" s="32"/>
      <c r="K12" s="43"/>
      <c r="L12" s="32"/>
      <c r="M12" s="32">
        <f t="shared" si="3"/>
        <v>0</v>
      </c>
      <c r="N12" s="43">
        <f t="shared" ref="N12:N14" si="20">+YEARFRAC(E11,E12,3)*(G12)*I11</f>
        <v>28671.232876712329</v>
      </c>
      <c r="O12" s="35">
        <f t="shared" si="7"/>
        <v>28671.232876712329</v>
      </c>
      <c r="P12" s="36"/>
      <c r="Q12" s="1"/>
      <c r="R12" s="44"/>
      <c r="S12" s="35">
        <f t="shared" si="8"/>
        <v>0</v>
      </c>
      <c r="T12" s="35">
        <f t="shared" si="9"/>
        <v>0</v>
      </c>
      <c r="U12" s="35">
        <f t="shared" si="10"/>
        <v>0</v>
      </c>
      <c r="V12" s="47">
        <f t="shared" si="11"/>
        <v>0</v>
      </c>
      <c r="W12" s="47">
        <f t="shared" si="12"/>
        <v>0</v>
      </c>
      <c r="X12" s="47">
        <f t="shared" si="13"/>
        <v>0</v>
      </c>
      <c r="Z12" s="35">
        <f t="shared" si="14"/>
        <v>21126.237916441671</v>
      </c>
      <c r="AA12" s="35">
        <f t="shared" si="17"/>
        <v>21126.237916441671</v>
      </c>
      <c r="AB12" s="35">
        <f t="shared" si="15"/>
        <v>28168.317221922222</v>
      </c>
      <c r="AC12" s="47">
        <f t="shared" si="16"/>
        <v>24126.430348652277</v>
      </c>
    </row>
    <row r="13" spans="1:29" ht="15" customHeight="1" x14ac:dyDescent="0.25">
      <c r="D13" s="45">
        <f t="shared" si="18"/>
        <v>42</v>
      </c>
      <c r="E13" s="42">
        <v>45679</v>
      </c>
      <c r="F13" s="41">
        <f t="shared" si="19"/>
        <v>1280</v>
      </c>
      <c r="G13" s="46">
        <f t="shared" si="2"/>
        <v>5.7500000000000002E-2</v>
      </c>
      <c r="H13" s="35">
        <v>0</v>
      </c>
      <c r="I13" s="32">
        <f t="shared" si="5"/>
        <v>1000000</v>
      </c>
      <c r="J13" s="32"/>
      <c r="K13" s="43"/>
      <c r="L13" s="32"/>
      <c r="M13" s="32">
        <f t="shared" si="3"/>
        <v>0</v>
      </c>
      <c r="N13" s="43">
        <f t="shared" si="20"/>
        <v>28986.301369863017</v>
      </c>
      <c r="O13" s="35">
        <f t="shared" si="7"/>
        <v>28986.301369863017</v>
      </c>
      <c r="P13" s="36"/>
      <c r="Q13" s="1"/>
      <c r="R13" s="44"/>
      <c r="S13" s="35">
        <f t="shared" si="8"/>
        <v>0</v>
      </c>
      <c r="T13" s="35">
        <f t="shared" si="9"/>
        <v>0</v>
      </c>
      <c r="U13" s="35">
        <f t="shared" si="10"/>
        <v>0</v>
      </c>
      <c r="V13" s="47">
        <f t="shared" si="11"/>
        <v>0</v>
      </c>
      <c r="W13" s="47">
        <f t="shared" si="12"/>
        <v>0</v>
      </c>
      <c r="X13" s="47">
        <f t="shared" si="13"/>
        <v>0</v>
      </c>
      <c r="Z13" s="35">
        <f t="shared" si="14"/>
        <v>24231.740892172682</v>
      </c>
      <c r="AA13" s="35">
        <f t="shared" si="17"/>
        <v>24231.740892172682</v>
      </c>
      <c r="AB13" s="35">
        <f t="shared" si="15"/>
        <v>32308.987856230247</v>
      </c>
      <c r="AC13" s="47">
        <f t="shared" si="16"/>
        <v>23694.966814141328</v>
      </c>
    </row>
    <row r="14" spans="1:29" ht="15" customHeight="1" x14ac:dyDescent="0.25">
      <c r="A14" s="85" t="s">
        <v>46</v>
      </c>
      <c r="B14" s="85"/>
      <c r="D14" s="45">
        <f t="shared" si="18"/>
        <v>48</v>
      </c>
      <c r="E14" s="42">
        <v>45860</v>
      </c>
      <c r="F14" s="41">
        <f t="shared" si="19"/>
        <v>1461</v>
      </c>
      <c r="G14" s="46">
        <f t="shared" si="2"/>
        <v>5.7500000000000002E-2</v>
      </c>
      <c r="H14" s="35">
        <v>0</v>
      </c>
      <c r="I14" s="32">
        <f t="shared" si="5"/>
        <v>1000000</v>
      </c>
      <c r="J14" s="32"/>
      <c r="K14" s="32"/>
      <c r="L14" s="32"/>
      <c r="M14" s="32">
        <f t="shared" si="3"/>
        <v>0</v>
      </c>
      <c r="N14" s="43">
        <f t="shared" si="20"/>
        <v>28513.698630136987</v>
      </c>
      <c r="O14" s="35">
        <f t="shared" si="7"/>
        <v>28513.698630136987</v>
      </c>
      <c r="P14" s="36"/>
      <c r="Q14" s="1"/>
      <c r="R14" s="44"/>
      <c r="S14" s="35">
        <f t="shared" si="8"/>
        <v>0</v>
      </c>
      <c r="T14" s="35">
        <f t="shared" si="9"/>
        <v>0</v>
      </c>
      <c r="U14" s="35">
        <f t="shared" si="10"/>
        <v>0</v>
      </c>
      <c r="V14" s="47">
        <f t="shared" si="11"/>
        <v>0</v>
      </c>
      <c r="W14" s="47">
        <f t="shared" si="12"/>
        <v>0</v>
      </c>
      <c r="X14" s="47">
        <f t="shared" si="13"/>
        <v>0</v>
      </c>
      <c r="Z14" s="35">
        <f t="shared" si="14"/>
        <v>26442.796232813063</v>
      </c>
      <c r="AA14" s="35">
        <f t="shared" si="17"/>
        <v>26442.796232813063</v>
      </c>
      <c r="AB14" s="35">
        <f t="shared" si="15"/>
        <v>35257.061643750749</v>
      </c>
      <c r="AC14" s="47">
        <f t="shared" si="16"/>
        <v>22653.672639618639</v>
      </c>
    </row>
    <row r="15" spans="1:29" ht="15" customHeight="1" x14ac:dyDescent="0.25">
      <c r="A15" s="73">
        <v>44391</v>
      </c>
      <c r="B15" s="20">
        <v>96.155000000000001</v>
      </c>
      <c r="D15" s="45">
        <f t="shared" si="18"/>
        <v>54</v>
      </c>
      <c r="E15" s="42">
        <v>46044</v>
      </c>
      <c r="F15" s="41">
        <f t="shared" si="1"/>
        <v>1645</v>
      </c>
      <c r="G15" s="46">
        <f t="shared" si="2"/>
        <v>5.7500000000000002E-2</v>
      </c>
      <c r="H15" s="37">
        <v>7.1428571428571425E-2</v>
      </c>
      <c r="I15" s="32">
        <f t="shared" si="5"/>
        <v>928571.42857142864</v>
      </c>
      <c r="J15" s="32"/>
      <c r="K15" s="32"/>
      <c r="L15" s="32"/>
      <c r="M15" s="32">
        <f>+$I$4*H15</f>
        <v>71428.57142857142</v>
      </c>
      <c r="N15" s="43">
        <f t="shared" ref="N15:N28" si="21">+YEARFRAC(E14,E15,3)*(G15)*I14</f>
        <v>28986.301369863017</v>
      </c>
      <c r="O15" s="35">
        <f t="shared" si="7"/>
        <v>100414.87279843443</v>
      </c>
      <c r="P15" s="36"/>
      <c r="Q15" s="1"/>
      <c r="R15" s="44"/>
      <c r="S15" s="35">
        <f t="shared" si="8"/>
        <v>21428.571428571424</v>
      </c>
      <c r="T15" s="35">
        <f t="shared" si="9"/>
        <v>21428.571428571424</v>
      </c>
      <c r="U15" s="35">
        <f t="shared" si="10"/>
        <v>28571.428571428569</v>
      </c>
      <c r="V15" s="47">
        <f>+($E15-$E$4)/365*S15/$I$4</f>
        <v>9.6575342465753403E-2</v>
      </c>
      <c r="W15" s="47">
        <f>+($E15-$E$5)/365*T15/$I$4</f>
        <v>9.3874755381604669E-2</v>
      </c>
      <c r="X15" s="47">
        <f>+($E15-$E$6)/365*U15/$I$4</f>
        <v>0.12164383561643832</v>
      </c>
      <c r="Z15" s="35">
        <f t="shared" si="14"/>
        <v>101855.42181267413</v>
      </c>
      <c r="AA15" s="35">
        <f t="shared" si="17"/>
        <v>101855.42181267413</v>
      </c>
      <c r="AB15" s="35">
        <f t="shared" si="15"/>
        <v>135807.22908356553</v>
      </c>
      <c r="AC15" s="47">
        <f t="shared" si="16"/>
        <v>77499.643960025962</v>
      </c>
    </row>
    <row r="16" spans="1:29" ht="15" customHeight="1" x14ac:dyDescent="0.25">
      <c r="A16" s="73">
        <v>44392</v>
      </c>
      <c r="B16" s="20">
        <v>96.185000000000002</v>
      </c>
      <c r="D16" s="45">
        <f t="shared" si="18"/>
        <v>60</v>
      </c>
      <c r="E16" s="42">
        <v>46225</v>
      </c>
      <c r="F16" s="41">
        <f t="shared" si="1"/>
        <v>1826</v>
      </c>
      <c r="G16" s="46">
        <f t="shared" si="2"/>
        <v>5.7500000000000002E-2</v>
      </c>
      <c r="H16" s="37">
        <v>7.1428571428571425E-2</v>
      </c>
      <c r="I16" s="32">
        <f t="shared" si="5"/>
        <v>857142.85714285728</v>
      </c>
      <c r="J16" s="32"/>
      <c r="K16" s="32"/>
      <c r="L16" s="32"/>
      <c r="M16" s="32">
        <f t="shared" ref="M16:M28" si="22">+$I$4*H16</f>
        <v>71428.57142857142</v>
      </c>
      <c r="N16" s="43">
        <f t="shared" si="21"/>
        <v>26477.005870841491</v>
      </c>
      <c r="O16" s="35">
        <f t="shared" si="7"/>
        <v>97905.577299412907</v>
      </c>
      <c r="P16" s="36"/>
      <c r="Q16" s="1"/>
      <c r="R16" s="44"/>
      <c r="S16" s="35">
        <f t="shared" si="8"/>
        <v>21428.571428571424</v>
      </c>
      <c r="T16" s="35">
        <f t="shared" si="9"/>
        <v>21428.571428571424</v>
      </c>
      <c r="U16" s="35">
        <f t="shared" si="10"/>
        <v>28571.428571428569</v>
      </c>
      <c r="V16" s="47">
        <f t="shared" ref="V16:V28" si="23">+($E16-$E$4)/365*S16/$I$4</f>
        <v>0.10720156555772992</v>
      </c>
      <c r="W16" s="47">
        <f t="shared" ref="W16:W28" si="24">+($E16-$E$5)/365*T16/$I$4</f>
        <v>0.10450097847358118</v>
      </c>
      <c r="X16" s="47">
        <f t="shared" ref="X16:X28" si="25">+($E16-$E$6)/365*U16/$I$4</f>
        <v>0.13581213307240705</v>
      </c>
      <c r="Z16" s="35">
        <f t="shared" si="14"/>
        <v>107139.63843530457</v>
      </c>
      <c r="AA16" s="35">
        <f t="shared" si="17"/>
        <v>107139.63843530457</v>
      </c>
      <c r="AB16" s="35">
        <f t="shared" si="15"/>
        <v>142852.85124707277</v>
      </c>
      <c r="AC16" s="47">
        <f t="shared" si="16"/>
        <v>73439.694431757292</v>
      </c>
    </row>
    <row r="17" spans="1:29" ht="15" customHeight="1" x14ac:dyDescent="0.25">
      <c r="A17" s="74">
        <v>44393</v>
      </c>
      <c r="B17" s="72">
        <v>96.215000000000003</v>
      </c>
      <c r="C17" s="54"/>
      <c r="D17" s="45">
        <f t="shared" si="18"/>
        <v>66</v>
      </c>
      <c r="E17" s="42">
        <v>46409</v>
      </c>
      <c r="F17" s="41">
        <f t="shared" si="1"/>
        <v>2010</v>
      </c>
      <c r="G17" s="46">
        <f t="shared" si="2"/>
        <v>5.7500000000000002E-2</v>
      </c>
      <c r="H17" s="37">
        <v>7.1428571428571425E-2</v>
      </c>
      <c r="I17" s="32">
        <f t="shared" si="5"/>
        <v>785714.28571428591</v>
      </c>
      <c r="J17" s="32"/>
      <c r="K17" s="32"/>
      <c r="L17" s="32"/>
      <c r="M17" s="32">
        <f t="shared" si="22"/>
        <v>71428.57142857142</v>
      </c>
      <c r="N17" s="43">
        <f t="shared" si="21"/>
        <v>24845.401174168306</v>
      </c>
      <c r="O17" s="35">
        <f t="shared" si="7"/>
        <v>96273.972602739726</v>
      </c>
      <c r="P17" s="36"/>
      <c r="Q17" s="1"/>
      <c r="R17" s="44"/>
      <c r="S17" s="35">
        <f t="shared" si="8"/>
        <v>21428.571428571424</v>
      </c>
      <c r="T17" s="35">
        <f t="shared" si="9"/>
        <v>21428.571428571424</v>
      </c>
      <c r="U17" s="35">
        <f t="shared" si="10"/>
        <v>28571.428571428569</v>
      </c>
      <c r="V17" s="47">
        <f t="shared" si="23"/>
        <v>0.11800391389432482</v>
      </c>
      <c r="W17" s="47">
        <f t="shared" si="24"/>
        <v>0.11530332681017609</v>
      </c>
      <c r="X17" s="47">
        <f t="shared" si="25"/>
        <v>0.1502152641878669</v>
      </c>
      <c r="Z17" s="35">
        <f t="shared" si="14"/>
        <v>112658.38479300888</v>
      </c>
      <c r="AA17" s="35">
        <f t="shared" si="17"/>
        <v>112658.38479300888</v>
      </c>
      <c r="AB17" s="35">
        <f t="shared" si="15"/>
        <v>150211.17972401183</v>
      </c>
      <c r="AC17" s="47">
        <f t="shared" si="16"/>
        <v>70153.431799120866</v>
      </c>
    </row>
    <row r="18" spans="1:29" ht="15" customHeight="1" x14ac:dyDescent="0.25">
      <c r="D18" s="45">
        <f t="shared" si="18"/>
        <v>72</v>
      </c>
      <c r="E18" s="42">
        <v>46590</v>
      </c>
      <c r="F18" s="41">
        <f t="shared" si="1"/>
        <v>2191</v>
      </c>
      <c r="G18" s="46">
        <f t="shared" si="2"/>
        <v>5.7500000000000002E-2</v>
      </c>
      <c r="H18" s="37">
        <v>7.1428571428571425E-2</v>
      </c>
      <c r="I18" s="32">
        <f t="shared" si="5"/>
        <v>714285.71428571455</v>
      </c>
      <c r="J18" s="32"/>
      <c r="K18" s="32"/>
      <c r="L18" s="32"/>
      <c r="M18" s="32">
        <f t="shared" si="22"/>
        <v>71428.57142857142</v>
      </c>
      <c r="N18" s="43">
        <f t="shared" si="21"/>
        <v>22403.620352250495</v>
      </c>
      <c r="O18" s="35">
        <f t="shared" si="7"/>
        <v>93832.191780821915</v>
      </c>
      <c r="P18" s="36"/>
      <c r="Q18" s="1"/>
      <c r="R18" s="44"/>
      <c r="S18" s="35">
        <f t="shared" si="8"/>
        <v>21428.571428571424</v>
      </c>
      <c r="T18" s="35">
        <f t="shared" si="9"/>
        <v>21428.571428571424</v>
      </c>
      <c r="U18" s="35">
        <f t="shared" si="10"/>
        <v>28571.428571428569</v>
      </c>
      <c r="V18" s="47">
        <f t="shared" si="23"/>
        <v>0.12863013698630135</v>
      </c>
      <c r="W18" s="47">
        <f t="shared" si="24"/>
        <v>0.12592954990215263</v>
      </c>
      <c r="X18" s="47">
        <f t="shared" si="25"/>
        <v>0.16438356164383561</v>
      </c>
      <c r="Z18" s="35">
        <f t="shared" si="14"/>
        <v>116325.404788396</v>
      </c>
      <c r="AA18" s="35">
        <f t="shared" si="17"/>
        <v>116325.404788396</v>
      </c>
      <c r="AB18" s="35">
        <f t="shared" si="15"/>
        <v>155100.53971786136</v>
      </c>
      <c r="AC18" s="47">
        <f t="shared" si="16"/>
        <v>66452.856327799745</v>
      </c>
    </row>
    <row r="19" spans="1:29" ht="15" customHeight="1" x14ac:dyDescent="0.25">
      <c r="D19" s="45">
        <f t="shared" si="18"/>
        <v>78</v>
      </c>
      <c r="E19" s="42">
        <v>46774</v>
      </c>
      <c r="F19" s="41">
        <f t="shared" si="1"/>
        <v>2375</v>
      </c>
      <c r="G19" s="46">
        <f t="shared" si="2"/>
        <v>5.7500000000000002E-2</v>
      </c>
      <c r="H19" s="37">
        <v>7.1428571428571425E-2</v>
      </c>
      <c r="I19" s="32">
        <f t="shared" si="5"/>
        <v>642857.14285714319</v>
      </c>
      <c r="J19" s="32"/>
      <c r="K19" s="32"/>
      <c r="L19" s="32"/>
      <c r="M19" s="32">
        <f t="shared" si="22"/>
        <v>71428.57142857142</v>
      </c>
      <c r="N19" s="43">
        <f t="shared" si="21"/>
        <v>20704.500978473592</v>
      </c>
      <c r="O19" s="35">
        <f t="shared" si="7"/>
        <v>92133.072407045009</v>
      </c>
      <c r="P19" s="36"/>
      <c r="Q19" s="1"/>
      <c r="R19" s="44"/>
      <c r="S19" s="35">
        <f t="shared" si="8"/>
        <v>21428.571428571424</v>
      </c>
      <c r="T19" s="35">
        <f t="shared" si="9"/>
        <v>21428.571428571424</v>
      </c>
      <c r="U19" s="35">
        <f t="shared" si="10"/>
        <v>28571.428571428569</v>
      </c>
      <c r="V19" s="47">
        <f t="shared" si="23"/>
        <v>0.13943248532289623</v>
      </c>
      <c r="W19" s="47">
        <f t="shared" si="24"/>
        <v>0.13673189823874751</v>
      </c>
      <c r="X19" s="47">
        <f t="shared" si="25"/>
        <v>0.17878669275929546</v>
      </c>
      <c r="Z19" s="35">
        <f t="shared" si="14"/>
        <v>120275.20383141507</v>
      </c>
      <c r="AA19" s="35">
        <f t="shared" si="17"/>
        <v>120275.20383141507</v>
      </c>
      <c r="AB19" s="35">
        <f t="shared" si="15"/>
        <v>160366.9384418868</v>
      </c>
      <c r="AC19" s="47">
        <f t="shared" si="16"/>
        <v>63386.087464803393</v>
      </c>
    </row>
    <row r="20" spans="1:29" ht="15" customHeight="1" x14ac:dyDescent="0.25">
      <c r="D20" s="45">
        <f t="shared" si="18"/>
        <v>84</v>
      </c>
      <c r="E20" s="42">
        <v>46956</v>
      </c>
      <c r="F20" s="41">
        <f t="shared" si="1"/>
        <v>2557</v>
      </c>
      <c r="G20" s="46">
        <f t="shared" si="2"/>
        <v>5.7500000000000002E-2</v>
      </c>
      <c r="H20" s="37">
        <v>7.1428571428571425E-2</v>
      </c>
      <c r="I20" s="32">
        <f t="shared" si="5"/>
        <v>571428.57142857183</v>
      </c>
      <c r="J20" s="32"/>
      <c r="K20" s="32"/>
      <c r="L20" s="32"/>
      <c r="M20" s="32">
        <f t="shared" si="22"/>
        <v>71428.57142857142</v>
      </c>
      <c r="N20" s="43">
        <f t="shared" si="21"/>
        <v>18431.506849315079</v>
      </c>
      <c r="O20" s="35">
        <f t="shared" si="7"/>
        <v>89860.078277886496</v>
      </c>
      <c r="P20" s="36"/>
      <c r="Q20" s="1"/>
      <c r="R20" s="44"/>
      <c r="S20" s="35">
        <f t="shared" si="8"/>
        <v>21428.571428571424</v>
      </c>
      <c r="T20" s="35">
        <f t="shared" si="9"/>
        <v>21428.571428571424</v>
      </c>
      <c r="U20" s="35">
        <f t="shared" si="10"/>
        <v>28571.428571428569</v>
      </c>
      <c r="V20" s="47">
        <f t="shared" si="23"/>
        <v>0.15011741682974558</v>
      </c>
      <c r="W20" s="47">
        <f t="shared" si="24"/>
        <v>0.14741682974559683</v>
      </c>
      <c r="X20" s="47">
        <f t="shared" si="25"/>
        <v>0.19303326810176125</v>
      </c>
      <c r="Z20" s="35">
        <f t="shared" si="14"/>
        <v>122729.17924474862</v>
      </c>
      <c r="AA20" s="35">
        <f t="shared" si="17"/>
        <v>122729.17924474862</v>
      </c>
      <c r="AB20" s="35">
        <f t="shared" si="15"/>
        <v>163638.90565966483</v>
      </c>
      <c r="AC20" s="47">
        <f t="shared" si="16"/>
        <v>60075.661255420193</v>
      </c>
    </row>
    <row r="21" spans="1:29" ht="15" customHeight="1" x14ac:dyDescent="0.25">
      <c r="A21" s="55"/>
      <c r="D21" s="45">
        <f t="shared" si="18"/>
        <v>90</v>
      </c>
      <c r="E21" s="42">
        <v>47140</v>
      </c>
      <c r="F21" s="41">
        <f t="shared" si="1"/>
        <v>2741</v>
      </c>
      <c r="G21" s="46">
        <f t="shared" si="2"/>
        <v>5.7500000000000002E-2</v>
      </c>
      <c r="H21" s="37">
        <v>7.1428571428571425E-2</v>
      </c>
      <c r="I21" s="32">
        <f t="shared" si="5"/>
        <v>500000.00000000041</v>
      </c>
      <c r="J21" s="32"/>
      <c r="K21" s="32"/>
      <c r="L21" s="32"/>
      <c r="M21" s="32">
        <f t="shared" si="22"/>
        <v>71428.57142857142</v>
      </c>
      <c r="N21" s="43">
        <f t="shared" si="21"/>
        <v>16563.600782778878</v>
      </c>
      <c r="O21" s="35">
        <f t="shared" si="7"/>
        <v>87992.172211350291</v>
      </c>
      <c r="P21" s="36"/>
      <c r="Q21" s="1"/>
      <c r="R21" s="44"/>
      <c r="S21" s="35">
        <f t="shared" si="8"/>
        <v>21428.571428571424</v>
      </c>
      <c r="T21" s="35">
        <f t="shared" si="9"/>
        <v>21428.571428571424</v>
      </c>
      <c r="U21" s="35">
        <f t="shared" si="10"/>
        <v>28571.428571428569</v>
      </c>
      <c r="V21" s="47">
        <f t="shared" si="23"/>
        <v>0.16091976516634049</v>
      </c>
      <c r="W21" s="47">
        <f t="shared" si="24"/>
        <v>0.15821917808219174</v>
      </c>
      <c r="X21" s="47">
        <f t="shared" si="25"/>
        <v>0.2074363992172211</v>
      </c>
      <c r="Z21" s="35">
        <f t="shared" si="14"/>
        <v>125146.86749390161</v>
      </c>
      <c r="AA21" s="35">
        <f t="shared" si="17"/>
        <v>125146.86749390161</v>
      </c>
      <c r="AB21" s="35">
        <f t="shared" si="15"/>
        <v>166862.48999186885</v>
      </c>
      <c r="AC21" s="47">
        <f t="shared" si="16"/>
        <v>57146.864375578538</v>
      </c>
    </row>
    <row r="22" spans="1:29" ht="15" customHeight="1" x14ac:dyDescent="0.25">
      <c r="D22" s="45">
        <f t="shared" si="18"/>
        <v>96</v>
      </c>
      <c r="E22" s="42">
        <v>47321</v>
      </c>
      <c r="F22" s="41">
        <f t="shared" si="1"/>
        <v>2922</v>
      </c>
      <c r="G22" s="46">
        <f t="shared" si="2"/>
        <v>5.7500000000000002E-2</v>
      </c>
      <c r="H22" s="37">
        <v>7.1428571428571425E-2</v>
      </c>
      <c r="I22" s="32">
        <f t="shared" si="5"/>
        <v>428571.42857142899</v>
      </c>
      <c r="J22" s="32"/>
      <c r="K22" s="32"/>
      <c r="L22" s="32"/>
      <c r="M22" s="32">
        <f t="shared" si="22"/>
        <v>71428.57142857142</v>
      </c>
      <c r="N22" s="43">
        <f t="shared" si="21"/>
        <v>14256.849315068506</v>
      </c>
      <c r="O22" s="35">
        <f t="shared" si="7"/>
        <v>85685.42074363993</v>
      </c>
      <c r="P22" s="36"/>
      <c r="Q22" s="1"/>
      <c r="R22" s="44"/>
      <c r="S22" s="35">
        <f t="shared" si="8"/>
        <v>21428.571428571424</v>
      </c>
      <c r="T22" s="35">
        <f t="shared" si="9"/>
        <v>21428.571428571424</v>
      </c>
      <c r="U22" s="35">
        <f t="shared" si="10"/>
        <v>28571.428571428569</v>
      </c>
      <c r="V22" s="47">
        <f t="shared" si="23"/>
        <v>0.17154598825831699</v>
      </c>
      <c r="W22" s="47">
        <f t="shared" si="24"/>
        <v>0.16884540117416824</v>
      </c>
      <c r="X22" s="47">
        <f t="shared" si="25"/>
        <v>0.22160469667318983</v>
      </c>
      <c r="Z22" s="35">
        <f t="shared" si="14"/>
        <v>126262.91681554279</v>
      </c>
      <c r="AA22" s="35">
        <f t="shared" si="17"/>
        <v>126262.91681554279</v>
      </c>
      <c r="AB22" s="35">
        <f t="shared" si="15"/>
        <v>168350.55575405707</v>
      </c>
      <c r="AC22" s="47">
        <f t="shared" si="16"/>
        <v>54085.028657319439</v>
      </c>
    </row>
    <row r="23" spans="1:29" ht="15" customHeight="1" x14ac:dyDescent="0.25">
      <c r="D23" s="45">
        <f t="shared" si="18"/>
        <v>102</v>
      </c>
      <c r="E23" s="42">
        <v>47505</v>
      </c>
      <c r="F23" s="41">
        <f t="shared" si="1"/>
        <v>3106</v>
      </c>
      <c r="G23" s="46">
        <f t="shared" si="2"/>
        <v>5.7500000000000002E-2</v>
      </c>
      <c r="H23" s="37">
        <v>7.1428571428571425E-2</v>
      </c>
      <c r="I23" s="32">
        <f t="shared" si="5"/>
        <v>357142.85714285757</v>
      </c>
      <c r="J23" s="32"/>
      <c r="K23" s="32"/>
      <c r="L23" s="32"/>
      <c r="M23" s="32">
        <f t="shared" si="22"/>
        <v>71428.57142857142</v>
      </c>
      <c r="N23" s="43">
        <f t="shared" si="21"/>
        <v>12422.700587084162</v>
      </c>
      <c r="O23" s="35">
        <f t="shared" si="7"/>
        <v>83851.272015655588</v>
      </c>
      <c r="P23" s="36"/>
      <c r="Q23" s="1"/>
      <c r="R23" s="44"/>
      <c r="S23" s="35">
        <f t="shared" si="8"/>
        <v>21428.571428571424</v>
      </c>
      <c r="T23" s="35">
        <f t="shared" si="9"/>
        <v>21428.571428571424</v>
      </c>
      <c r="U23" s="35">
        <f t="shared" si="10"/>
        <v>28571.428571428569</v>
      </c>
      <c r="V23" s="47">
        <f t="shared" si="23"/>
        <v>0.1823483365949119</v>
      </c>
      <c r="W23" s="47">
        <f t="shared" si="24"/>
        <v>0.17964774951076315</v>
      </c>
      <c r="X23" s="47">
        <f t="shared" si="25"/>
        <v>0.23600782778864968</v>
      </c>
      <c r="Z23" s="35">
        <f t="shared" si="14"/>
        <v>127589.92401282853</v>
      </c>
      <c r="AA23" s="35">
        <f t="shared" si="17"/>
        <v>127589.92401282853</v>
      </c>
      <c r="AB23" s="35">
        <f t="shared" si="15"/>
        <v>170119.8986837714</v>
      </c>
      <c r="AC23" s="47">
        <f t="shared" si="16"/>
        <v>51415.77487635977</v>
      </c>
    </row>
    <row r="24" spans="1:29" ht="15" customHeight="1" x14ac:dyDescent="0.25">
      <c r="D24" s="45">
        <f t="shared" si="18"/>
        <v>108</v>
      </c>
      <c r="E24" s="42">
        <v>47686</v>
      </c>
      <c r="F24" s="41">
        <f t="shared" si="1"/>
        <v>3287</v>
      </c>
      <c r="G24" s="46">
        <f t="shared" si="2"/>
        <v>5.7500000000000002E-2</v>
      </c>
      <c r="H24" s="37">
        <v>7.1428571428571425E-2</v>
      </c>
      <c r="I24" s="32">
        <f t="shared" si="5"/>
        <v>285714.28571428615</v>
      </c>
      <c r="J24" s="32"/>
      <c r="K24" s="32"/>
      <c r="L24" s="32"/>
      <c r="M24" s="32">
        <f t="shared" si="22"/>
        <v>71428.57142857142</v>
      </c>
      <c r="N24" s="43">
        <f t="shared" si="21"/>
        <v>10183.463796477508</v>
      </c>
      <c r="O24" s="35">
        <f t="shared" si="7"/>
        <v>81612.035225048923</v>
      </c>
      <c r="P24" s="36"/>
      <c r="Q24" s="1"/>
      <c r="R24" s="44"/>
      <c r="S24" s="35">
        <f t="shared" si="8"/>
        <v>21428.571428571424</v>
      </c>
      <c r="T24" s="35">
        <f t="shared" si="9"/>
        <v>21428.571428571424</v>
      </c>
      <c r="U24" s="35">
        <f t="shared" si="10"/>
        <v>28571.428571428569</v>
      </c>
      <c r="V24" s="47">
        <f t="shared" si="23"/>
        <v>0.19297455968688842</v>
      </c>
      <c r="W24" s="47">
        <f t="shared" si="24"/>
        <v>0.19027397260273968</v>
      </c>
      <c r="X24" s="47">
        <f t="shared" si="25"/>
        <v>0.25017612524461835</v>
      </c>
      <c r="Z24" s="35">
        <f t="shared" si="14"/>
        <v>127726.48137864668</v>
      </c>
      <c r="AA24" s="35">
        <f t="shared" si="17"/>
        <v>127726.48137864668</v>
      </c>
      <c r="AB24" s="35">
        <f t="shared" si="15"/>
        <v>170301.97517152893</v>
      </c>
      <c r="AC24" s="47">
        <f t="shared" si="16"/>
        <v>48636.543420721246</v>
      </c>
    </row>
    <row r="25" spans="1:29" ht="15" customHeight="1" x14ac:dyDescent="0.25">
      <c r="D25" s="45">
        <f t="shared" si="18"/>
        <v>114</v>
      </c>
      <c r="E25" s="42">
        <v>47870</v>
      </c>
      <c r="F25" s="41">
        <f t="shared" si="1"/>
        <v>3471</v>
      </c>
      <c r="G25" s="46">
        <f t="shared" si="2"/>
        <v>5.7500000000000002E-2</v>
      </c>
      <c r="H25" s="37">
        <v>7.1428571428571425E-2</v>
      </c>
      <c r="I25" s="32">
        <f t="shared" si="5"/>
        <v>214285.71428571473</v>
      </c>
      <c r="J25" s="32"/>
      <c r="K25" s="32"/>
      <c r="L25" s="32"/>
      <c r="M25" s="32">
        <f t="shared" si="22"/>
        <v>71428.57142857142</v>
      </c>
      <c r="N25" s="43">
        <f t="shared" si="21"/>
        <v>8281.8003913894463</v>
      </c>
      <c r="O25" s="35">
        <f t="shared" si="7"/>
        <v>79710.37181996087</v>
      </c>
      <c r="P25" s="36"/>
      <c r="Q25" s="1"/>
      <c r="R25" s="44"/>
      <c r="S25" s="35">
        <f t="shared" si="8"/>
        <v>21428.571428571424</v>
      </c>
      <c r="T25" s="35">
        <f t="shared" si="9"/>
        <v>21428.571428571424</v>
      </c>
      <c r="U25" s="35">
        <f t="shared" si="10"/>
        <v>28571.428571428569</v>
      </c>
      <c r="V25" s="47">
        <f t="shared" si="23"/>
        <v>0.20377690802348336</v>
      </c>
      <c r="W25" s="47">
        <f t="shared" si="24"/>
        <v>0.20107632093933459</v>
      </c>
      <c r="X25" s="47">
        <f t="shared" si="25"/>
        <v>0.26457925636007823</v>
      </c>
      <c r="Z25" s="35">
        <f t="shared" si="14"/>
        <v>127971.44803859934</v>
      </c>
      <c r="AA25" s="35">
        <f t="shared" si="17"/>
        <v>127971.44803859934</v>
      </c>
      <c r="AB25" s="35">
        <f t="shared" si="15"/>
        <v>170628.59738479913</v>
      </c>
      <c r="AC25" s="47">
        <f t="shared" si="16"/>
        <v>46146.623371692898</v>
      </c>
    </row>
    <row r="26" spans="1:29" ht="15" customHeight="1" x14ac:dyDescent="0.25">
      <c r="D26" s="45">
        <f t="shared" si="18"/>
        <v>120</v>
      </c>
      <c r="E26" s="42">
        <v>48051</v>
      </c>
      <c r="F26" s="41">
        <f t="shared" si="1"/>
        <v>3652</v>
      </c>
      <c r="G26" s="46">
        <f t="shared" si="2"/>
        <v>5.7500000000000002E-2</v>
      </c>
      <c r="H26" s="37">
        <v>7.1428571428571425E-2</v>
      </c>
      <c r="I26" s="32">
        <f t="shared" si="5"/>
        <v>142857.14285714331</v>
      </c>
      <c r="J26" s="32"/>
      <c r="K26" s="32"/>
      <c r="L26" s="32"/>
      <c r="M26" s="32">
        <f t="shared" si="22"/>
        <v>71428.57142857142</v>
      </c>
      <c r="N26" s="43">
        <f t="shared" si="21"/>
        <v>6110.0782778865105</v>
      </c>
      <c r="O26" s="35">
        <f t="shared" si="7"/>
        <v>77538.649706457931</v>
      </c>
      <c r="P26" s="36"/>
      <c r="Q26" s="1"/>
      <c r="R26" s="44"/>
      <c r="S26" s="35">
        <f t="shared" si="8"/>
        <v>21428.571428571424</v>
      </c>
      <c r="T26" s="35">
        <f t="shared" si="9"/>
        <v>21428.571428571424</v>
      </c>
      <c r="U26" s="35">
        <f t="shared" si="10"/>
        <v>28571.428571428569</v>
      </c>
      <c r="V26" s="47">
        <f t="shared" si="23"/>
        <v>0.21440313111545983</v>
      </c>
      <c r="W26" s="47">
        <f t="shared" si="24"/>
        <v>0.21170254403131109</v>
      </c>
      <c r="X26" s="47">
        <f t="shared" si="25"/>
        <v>0.27874755381604693</v>
      </c>
      <c r="Z26" s="35">
        <f t="shared" si="14"/>
        <v>127295.89587265362</v>
      </c>
      <c r="AA26" s="35">
        <f t="shared" si="17"/>
        <v>127295.89587265362</v>
      </c>
      <c r="AB26" s="35">
        <f t="shared" si="15"/>
        <v>169727.86116353818</v>
      </c>
      <c r="AC26" s="47">
        <f t="shared" si="16"/>
        <v>43627.978551325519</v>
      </c>
    </row>
    <row r="27" spans="1:29" ht="12.75" x14ac:dyDescent="0.25">
      <c r="D27" s="45">
        <f t="shared" si="18"/>
        <v>126</v>
      </c>
      <c r="E27" s="42">
        <v>48235</v>
      </c>
      <c r="F27" s="41">
        <f t="shared" si="1"/>
        <v>3836</v>
      </c>
      <c r="G27" s="46">
        <f t="shared" si="2"/>
        <v>5.7500000000000002E-2</v>
      </c>
      <c r="H27" s="37">
        <v>7.1428571428571425E-2</v>
      </c>
      <c r="I27" s="32">
        <f t="shared" si="5"/>
        <v>71428.571428571886</v>
      </c>
      <c r="J27" s="32"/>
      <c r="K27" s="32"/>
      <c r="L27" s="32"/>
      <c r="M27" s="32">
        <f t="shared" si="22"/>
        <v>71428.57142857142</v>
      </c>
      <c r="N27" s="43">
        <f t="shared" si="21"/>
        <v>4140.9001956947295</v>
      </c>
      <c r="O27" s="35">
        <f t="shared" si="7"/>
        <v>75569.471624266153</v>
      </c>
      <c r="P27" s="36"/>
      <c r="Q27" s="1"/>
      <c r="R27" s="44"/>
      <c r="S27" s="35">
        <f t="shared" si="8"/>
        <v>21428.571428571424</v>
      </c>
      <c r="T27" s="35">
        <f t="shared" si="9"/>
        <v>21428.571428571424</v>
      </c>
      <c r="U27" s="35">
        <f t="shared" si="10"/>
        <v>28571.428571428569</v>
      </c>
      <c r="V27" s="47">
        <f t="shared" si="23"/>
        <v>0.22520547945205477</v>
      </c>
      <c r="W27" s="47">
        <f t="shared" si="24"/>
        <v>0.22250489236790602</v>
      </c>
      <c r="X27" s="47">
        <f t="shared" si="25"/>
        <v>0.29315068493150681</v>
      </c>
      <c r="Z27" s="35">
        <f t="shared" si="14"/>
        <v>126592.21039335257</v>
      </c>
      <c r="AA27" s="35">
        <f t="shared" si="17"/>
        <v>126592.21039335257</v>
      </c>
      <c r="AB27" s="35">
        <f t="shared" si="15"/>
        <v>168789.61385780343</v>
      </c>
      <c r="AC27" s="47">
        <f t="shared" si="16"/>
        <v>41305.686306385927</v>
      </c>
    </row>
    <row r="28" spans="1:29" ht="12.75" x14ac:dyDescent="0.25">
      <c r="D28" s="45">
        <f t="shared" si="18"/>
        <v>132</v>
      </c>
      <c r="E28" s="42">
        <v>48417</v>
      </c>
      <c r="F28" s="41">
        <f t="shared" si="1"/>
        <v>4018</v>
      </c>
      <c r="G28" s="46">
        <f t="shared" ref="G28" si="26">$C$8</f>
        <v>5.7500000000000002E-2</v>
      </c>
      <c r="H28" s="37">
        <v>7.1428571428571425E-2</v>
      </c>
      <c r="I28" s="32">
        <f t="shared" si="5"/>
        <v>4.6566128730773926E-10</v>
      </c>
      <c r="J28" s="32"/>
      <c r="K28" s="32"/>
      <c r="L28" s="32"/>
      <c r="M28" s="32">
        <f t="shared" si="22"/>
        <v>71428.57142857142</v>
      </c>
      <c r="N28" s="56">
        <f t="shared" si="21"/>
        <v>2047.9452054794651</v>
      </c>
      <c r="O28" s="35">
        <f t="shared" si="7"/>
        <v>73476.516634050888</v>
      </c>
      <c r="P28" s="36"/>
      <c r="Q28" s="1"/>
      <c r="R28" s="44"/>
      <c r="S28" s="35">
        <f t="shared" si="8"/>
        <v>21428.571428571424</v>
      </c>
      <c r="T28" s="35">
        <f t="shared" si="9"/>
        <v>21428.571428571424</v>
      </c>
      <c r="U28" s="35">
        <f t="shared" si="10"/>
        <v>28571.428571428569</v>
      </c>
      <c r="V28" s="47">
        <f t="shared" si="23"/>
        <v>0.23589041095890403</v>
      </c>
      <c r="W28" s="47">
        <f t="shared" si="24"/>
        <v>0.23318982387475531</v>
      </c>
      <c r="X28" s="47">
        <f t="shared" si="25"/>
        <v>0.30739726027397257</v>
      </c>
      <c r="Z28" s="35">
        <f t="shared" si="14"/>
        <v>125283.49667908133</v>
      </c>
      <c r="AA28" s="35">
        <f t="shared" si="17"/>
        <v>125283.49667908133</v>
      </c>
      <c r="AB28" s="35">
        <f t="shared" si="15"/>
        <v>167044.66223877514</v>
      </c>
      <c r="AC28" s="47">
        <f t="shared" si="16"/>
        <v>39027.02006067762</v>
      </c>
    </row>
    <row r="29" spans="1:29" x14ac:dyDescent="0.25">
      <c r="D29" s="57"/>
      <c r="E29" s="58"/>
      <c r="F29" s="58"/>
      <c r="G29" s="58"/>
      <c r="H29" s="59">
        <f>+SUM(H7:H28)</f>
        <v>0.99999999999999967</v>
      </c>
      <c r="I29" s="58"/>
      <c r="J29" s="58"/>
      <c r="K29" s="58"/>
      <c r="L29" s="58"/>
      <c r="M29" s="59">
        <f>+SUM(M15:M28)</f>
        <v>999999.99999999953</v>
      </c>
      <c r="N29" s="59">
        <f>+SUM(N7:N28)</f>
        <v>446013.20939334657</v>
      </c>
      <c r="O29" s="59">
        <f>+SUM(O7:O28)</f>
        <v>1446013.2093933464</v>
      </c>
    </row>
    <row r="30" spans="1:29" x14ac:dyDescent="0.25">
      <c r="D30" s="20"/>
    </row>
    <row r="31" spans="1:29" x14ac:dyDescent="0.25">
      <c r="D31" s="20"/>
    </row>
    <row r="32" spans="1:29" x14ac:dyDescent="0.25">
      <c r="D32" s="20"/>
    </row>
    <row r="33" spans="4:4" x14ac:dyDescent="0.25">
      <c r="D33" s="20"/>
    </row>
    <row r="34" spans="4:4" x14ac:dyDescent="0.25">
      <c r="D34" s="20"/>
    </row>
    <row r="35" spans="4:4" x14ac:dyDescent="0.25">
      <c r="D35" s="20"/>
    </row>
    <row r="36" spans="4:4" x14ac:dyDescent="0.25">
      <c r="D36" s="20"/>
    </row>
    <row r="37" spans="4:4" x14ac:dyDescent="0.25">
      <c r="D37" s="20"/>
    </row>
    <row r="38" spans="4:4" x14ac:dyDescent="0.25">
      <c r="D38" s="20"/>
    </row>
    <row r="39" spans="4:4" x14ac:dyDescent="0.25">
      <c r="D39" s="20"/>
    </row>
    <row r="40" spans="4:4" x14ac:dyDescent="0.25">
      <c r="D40" s="20"/>
    </row>
    <row r="41" spans="4:4" x14ac:dyDescent="0.25">
      <c r="D41" s="20"/>
    </row>
    <row r="42" spans="4:4" x14ac:dyDescent="0.25">
      <c r="D42" s="20"/>
    </row>
    <row r="43" spans="4:4" x14ac:dyDescent="0.25">
      <c r="D43" s="20"/>
    </row>
    <row r="44" spans="4:4" x14ac:dyDescent="0.25">
      <c r="D44" s="20"/>
    </row>
    <row r="45" spans="4:4" x14ac:dyDescent="0.25">
      <c r="D45" s="20"/>
    </row>
    <row r="46" spans="4:4" x14ac:dyDescent="0.25">
      <c r="D46" s="20"/>
    </row>
    <row r="47" spans="4:4" x14ac:dyDescent="0.25">
      <c r="D47" s="20"/>
    </row>
    <row r="48" spans="4:4" x14ac:dyDescent="0.25">
      <c r="D48" s="20"/>
    </row>
    <row r="49" spans="4:4" x14ac:dyDescent="0.25">
      <c r="D49" s="20"/>
    </row>
    <row r="50" spans="4:4" x14ac:dyDescent="0.25">
      <c r="D50" s="20"/>
    </row>
    <row r="51" spans="4:4" x14ac:dyDescent="0.25">
      <c r="D51" s="20"/>
    </row>
    <row r="52" spans="4:4" x14ac:dyDescent="0.25">
      <c r="D52" s="20"/>
    </row>
    <row r="53" spans="4:4" x14ac:dyDescent="0.25">
      <c r="D53" s="20"/>
    </row>
    <row r="54" spans="4:4" x14ac:dyDescent="0.25">
      <c r="D54" s="20"/>
    </row>
  </sheetData>
  <sheetProtection algorithmName="SHA-512" hashValue="nJU0KzuUjS8u65HVzHHPYF4I4a4txoDPV+JWN5QP2f1rHFf9ZG6+jTLInYg3pf213xOFPLaGiwJgCx8ed5cJjw==" saltValue="1yJ1zWm5nH6emPBSSKCelw==" spinCount="100000" sheet="1" objects="1" scenarios="1" selectLockedCells="1"/>
  <mergeCells count="3">
    <mergeCell ref="S6:X6"/>
    <mergeCell ref="Z6:AC6"/>
    <mergeCell ref="A14:B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YPF</vt:lpstr>
      <vt:lpstr>Clase XX</vt:lpstr>
      <vt:lpstr>YPF!Área_de_impresión</vt:lpstr>
    </vt:vector>
  </TitlesOfParts>
  <Company>Banco Itau Argentina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Ponieman</dc:creator>
  <cp:lastModifiedBy>Clari</cp:lastModifiedBy>
  <cp:lastPrinted>2021-07-16T20:25:48Z</cp:lastPrinted>
  <dcterms:created xsi:type="dcterms:W3CDTF">2012-05-11T18:43:00Z</dcterms:created>
  <dcterms:modified xsi:type="dcterms:W3CDTF">2021-07-19T17:49:08Z</dcterms:modified>
</cp:coreProperties>
</file>