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ba.usr.bpba\files\1296BancadeInversion\EMISIONES\Vista Oil &amp; Gas\Reapertura Marzo 2021\Micrositio\"/>
    </mc:Choice>
  </mc:AlternateContent>
  <workbookProtection workbookAlgorithmName="SHA-512" workbookHashValue="egb7EuAn5T/w6g6jN0lubw7IoHA+Xlya3oDFnxAuQnk/Yah2Zm+8APGqITrf0tUFKmDevRJlPrWX4MMHekQJHQ==" workbookSaltValue="Bd/6jgKP7WnMqZmdW6WJPg==" workbookSpinCount="100000" lockStructure="1"/>
  <bookViews>
    <workbookView xWindow="0" yWindow="0" windowWidth="23040" windowHeight="8928" tabRatio="848"/>
  </bookViews>
  <sheets>
    <sheet name="Vista" sheetId="15" r:id="rId1"/>
    <sheet name="Clase VIII UVA" sheetId="10" r:id="rId2"/>
    <sheet name="UVA" sheetId="17" state="hidden" r:id="rId3"/>
  </sheets>
  <definedNames>
    <definedName name="_DV_M3" localSheetId="1">'Clase VIII UVA'!#REF!</definedName>
    <definedName name="_xlnm.Print_Area" localSheetId="1">'Clase VIII UVA'!$B$2:$N$22</definedName>
  </definedNames>
  <calcPr calcId="162913"/>
</workbook>
</file>

<file path=xl/calcChain.xml><?xml version="1.0" encoding="utf-8"?>
<calcChain xmlns="http://schemas.openxmlformats.org/spreadsheetml/2006/main">
  <c r="E20" i="15" l="1"/>
  <c r="L6" i="10"/>
  <c r="M4" i="10"/>
  <c r="M21" i="10" l="1"/>
  <c r="F6" i="10" l="1"/>
  <c r="K7" i="10" l="1"/>
  <c r="K8" i="10"/>
  <c r="K9" i="10"/>
  <c r="K10" i="10"/>
  <c r="K11" i="10"/>
  <c r="K12" i="10"/>
  <c r="K13" i="10"/>
  <c r="K14" i="10"/>
  <c r="K15" i="10"/>
  <c r="K16" i="10"/>
  <c r="K17" i="10"/>
  <c r="K18" i="10"/>
  <c r="K19" i="10"/>
  <c r="K6" i="10"/>
  <c r="D4" i="10"/>
  <c r="E7" i="10" s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6" i="10"/>
  <c r="E6" i="10" l="1"/>
  <c r="E18" i="10"/>
  <c r="E16" i="10"/>
  <c r="E14" i="10"/>
  <c r="E12" i="10"/>
  <c r="E10" i="10"/>
  <c r="E8" i="10"/>
  <c r="E19" i="10"/>
  <c r="E17" i="10"/>
  <c r="E15" i="10"/>
  <c r="E13" i="10"/>
  <c r="E11" i="10"/>
  <c r="E9" i="10"/>
  <c r="I9" i="17"/>
  <c r="I3" i="17" l="1"/>
  <c r="H4" i="17" l="1"/>
  <c r="E23" i="15" l="1"/>
  <c r="G6" i="10" s="1"/>
  <c r="H6" i="10" l="1"/>
  <c r="J4" i="17"/>
  <c r="K4" i="17" s="1"/>
  <c r="L4" i="17"/>
  <c r="J2" i="17"/>
  <c r="K2" i="17" s="1"/>
  <c r="H3" i="17" l="1"/>
  <c r="L3" i="17"/>
  <c r="H2" i="17" l="1"/>
  <c r="G7" i="10" l="1"/>
  <c r="H7" i="10" s="1"/>
  <c r="I21" i="10"/>
  <c r="F7" i="10" l="1"/>
  <c r="F17" i="10"/>
  <c r="G8" i="10"/>
  <c r="H8" i="10" s="1"/>
  <c r="F8" i="10"/>
  <c r="L7" i="10" l="1"/>
  <c r="M7" i="10" s="1"/>
  <c r="T7" i="10" s="1"/>
  <c r="G9" i="10"/>
  <c r="L8" i="10"/>
  <c r="M8" i="10" s="1"/>
  <c r="T8" i="10" s="1"/>
  <c r="M6" i="10"/>
  <c r="T6" i="10" s="1"/>
  <c r="F18" i="10"/>
  <c r="F9" i="10"/>
  <c r="S7" i="10" l="1"/>
  <c r="H9" i="10"/>
  <c r="G10" i="10" s="1"/>
  <c r="S6" i="10"/>
  <c r="L9" i="10"/>
  <c r="F19" i="10"/>
  <c r="F10" i="10"/>
  <c r="H10" i="10" l="1"/>
  <c r="G11" i="10" s="1"/>
  <c r="L10" i="10"/>
  <c r="S8" i="10"/>
  <c r="F11" i="10"/>
  <c r="H11" i="10" l="1"/>
  <c r="G12" i="10" s="1"/>
  <c r="L11" i="10"/>
  <c r="F12" i="10"/>
  <c r="H12" i="10" l="1"/>
  <c r="G13" i="10" s="1"/>
  <c r="L12" i="10"/>
  <c r="F13" i="10"/>
  <c r="H13" i="10" l="1"/>
  <c r="G14" i="10" s="1"/>
  <c r="L13" i="10"/>
  <c r="F14" i="10"/>
  <c r="H14" i="10" l="1"/>
  <c r="G15" i="10" s="1"/>
  <c r="L14" i="10"/>
  <c r="F15" i="10"/>
  <c r="H15" i="10" l="1"/>
  <c r="G16" i="10" s="1"/>
  <c r="L15" i="10"/>
  <c r="F16" i="10"/>
  <c r="H16" i="10" l="1"/>
  <c r="G17" i="10" s="1"/>
  <c r="L16" i="10"/>
  <c r="L17" i="10" l="1"/>
  <c r="H17" i="10"/>
  <c r="G18" i="10" s="1"/>
  <c r="M17" i="10"/>
  <c r="T17" i="10" s="1"/>
  <c r="L18" i="10"/>
  <c r="H18" i="10"/>
  <c r="G19" i="10"/>
  <c r="S17" i="10" l="1"/>
  <c r="M18" i="10"/>
  <c r="T18" i="10" s="1"/>
  <c r="L19" i="10"/>
  <c r="H19" i="10"/>
  <c r="E12" i="15" s="1"/>
  <c r="S18" i="10"/>
  <c r="M19" i="10" l="1"/>
  <c r="T19" i="10" s="1"/>
  <c r="F21" i="10"/>
  <c r="S19" i="10" l="1"/>
  <c r="H21" i="10"/>
  <c r="M10" i="10" l="1"/>
  <c r="T10" i="10" s="1"/>
  <c r="S10" i="10" l="1"/>
  <c r="M15" i="10" l="1"/>
  <c r="T15" i="10" s="1"/>
  <c r="S15" i="10" l="1"/>
  <c r="M16" i="10"/>
  <c r="T16" i="10" s="1"/>
  <c r="S16" i="10" l="1"/>
  <c r="G21" i="10" l="1"/>
  <c r="S20" i="10" l="1"/>
  <c r="M12" i="10" l="1"/>
  <c r="T12" i="10" s="1"/>
  <c r="M9" i="10"/>
  <c r="T9" i="10" s="1"/>
  <c r="S9" i="10" l="1"/>
  <c r="S12" i="10"/>
  <c r="L21" i="10"/>
  <c r="M13" i="10"/>
  <c r="T13" i="10" s="1"/>
  <c r="M14" i="10"/>
  <c r="T14" i="10" s="1"/>
  <c r="M11" i="10"/>
  <c r="T11" i="10" s="1"/>
  <c r="T4" i="10" l="1"/>
  <c r="E17" i="15"/>
  <c r="Q13" i="10" s="1"/>
  <c r="R13" i="10" s="1"/>
  <c r="S14" i="10"/>
  <c r="S13" i="10"/>
  <c r="S11" i="10"/>
  <c r="Q14" i="10" l="1"/>
  <c r="R14" i="10" s="1"/>
  <c r="Q20" i="10"/>
  <c r="R20" i="10" s="1"/>
  <c r="Q8" i="10"/>
  <c r="R8" i="10" s="1"/>
  <c r="Q7" i="10"/>
  <c r="R7" i="10" s="1"/>
  <c r="Q6" i="10"/>
  <c r="Q17" i="10"/>
  <c r="R17" i="10" s="1"/>
  <c r="Q18" i="10"/>
  <c r="R18" i="10" s="1"/>
  <c r="Q19" i="10"/>
  <c r="R19" i="10" s="1"/>
  <c r="Q10" i="10"/>
  <c r="R10" i="10" s="1"/>
  <c r="Q15" i="10"/>
  <c r="R15" i="10" s="1"/>
  <c r="Q16" i="10"/>
  <c r="R16" i="10" s="1"/>
  <c r="Q9" i="10"/>
  <c r="R9" i="10" s="1"/>
  <c r="Q12" i="10"/>
  <c r="R12" i="10" s="1"/>
  <c r="Q11" i="10"/>
  <c r="R11" i="10" s="1"/>
  <c r="Q4" i="10" l="1"/>
  <c r="R6" i="10"/>
  <c r="E13" i="15" l="1"/>
  <c r="R21" i="10"/>
  <c r="R4" i="10"/>
</calcChain>
</file>

<file path=xl/sharedStrings.xml><?xml version="1.0" encoding="utf-8"?>
<sst xmlns="http://schemas.openxmlformats.org/spreadsheetml/2006/main" count="67" uniqueCount="59">
  <si>
    <t>N° Cupón</t>
  </si>
  <si>
    <t>Plazo</t>
  </si>
  <si>
    <t>Días</t>
  </si>
  <si>
    <t>Amortización</t>
  </si>
  <si>
    <t>Flujo</t>
  </si>
  <si>
    <t>VA Flujo</t>
  </si>
  <si>
    <t>TIR (TEA)</t>
  </si>
  <si>
    <t>Cupón (TNA)</t>
  </si>
  <si>
    <t>Amortización %</t>
  </si>
  <si>
    <t>VN a licitar</t>
  </si>
  <si>
    <t xml:space="preserve">La presente planilla de cálculo debe ser considerada por el interesado al sólo efecto ilustrativo y ejemplificativo. Los resultados que esta arroje no serán vinculantes y pueden sufrir variaciones ante cambios en cualquiera de los supuestos de elaboración. A los efectos de la suscripción de las Obligaciones Negociables, el interesado deberá basarse en sus propios cálculos y evaluación de la información publicada en el Suplemento de Prospecto y en particular las consideraciones de riesgo para la inversión. </t>
  </si>
  <si>
    <t>Tasa</t>
  </si>
  <si>
    <t xml:space="preserve">Fechas de Devengamiento </t>
  </si>
  <si>
    <t>Fecha de Emisión</t>
  </si>
  <si>
    <t>Fecha de Vencimiento</t>
  </si>
  <si>
    <t>Vida Promedio (años)</t>
  </si>
  <si>
    <t>Duration (años)</t>
  </si>
  <si>
    <t>Feriados</t>
  </si>
  <si>
    <t>Fechas</t>
  </si>
  <si>
    <t>UVA</t>
  </si>
  <si>
    <t>UVA Conocida</t>
  </si>
  <si>
    <t xml:space="preserve">UVA Inicial </t>
  </si>
  <si>
    <t>Fecha Emision</t>
  </si>
  <si>
    <t xml:space="preserve"> UVA Inicial</t>
  </si>
  <si>
    <t>UVA Promedio</t>
  </si>
  <si>
    <t>Saldo UVAs</t>
  </si>
  <si>
    <t>Intereses $</t>
  </si>
  <si>
    <t>Valor UVA</t>
  </si>
  <si>
    <t>UVA Ponderada</t>
  </si>
  <si>
    <t>UVA a Licitar</t>
  </si>
  <si>
    <t>T/C</t>
  </si>
  <si>
    <t>Monto a Invertir</t>
  </si>
  <si>
    <t>Clase VIII - $ UVA</t>
  </si>
  <si>
    <t>Precio a licitar</t>
  </si>
  <si>
    <t>27/02/2021</t>
  </si>
  <si>
    <t>69,04</t>
  </si>
  <si>
    <t>28/02/2021</t>
  </si>
  <si>
    <t>69,33</t>
  </si>
  <si>
    <t>69,43</t>
  </si>
  <si>
    <t>69,53</t>
  </si>
  <si>
    <t>69,62</t>
  </si>
  <si>
    <t>69,72</t>
  </si>
  <si>
    <t>70,01</t>
  </si>
  <si>
    <t>70,11</t>
  </si>
  <si>
    <t>70,21</t>
  </si>
  <si>
    <t>70,31</t>
  </si>
  <si>
    <t>13/03/2021</t>
  </si>
  <si>
    <t>70,41</t>
  </si>
  <si>
    <t>14/03/2021</t>
  </si>
  <si>
    <t>15/03/2021</t>
  </si>
  <si>
    <t>16/03/2021</t>
  </si>
  <si>
    <t>70,70</t>
  </si>
  <si>
    <t>17/03/2021</t>
  </si>
  <si>
    <t>70,79</t>
  </si>
  <si>
    <t>18/03/2021</t>
  </si>
  <si>
    <t>70,87</t>
  </si>
  <si>
    <t>TIR Requerida</t>
  </si>
  <si>
    <t>Fecha de Reapertura</t>
  </si>
  <si>
    <t>ON CLASE VIII - $ UVA (Reapertura)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</si>
</sst>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.00\ _€_-;\-* #,##0.00\ _€_-;_-* &quot;-&quot;??\ _€_-;_-@_-"/>
    <numFmt numFmtId="168" formatCode="_-* #,##0\ _€_-;\-* #,##0\ _€_-;_-* &quot;-&quot;??\ _€_-;_-@_-"/>
    <numFmt numFmtId="169" formatCode="[$-F800]dddd\,\ mmmm\ dd\,\ yyyy"/>
    <numFmt numFmtId="170" formatCode="#,##0_ ;\-#,##0\ "/>
    <numFmt numFmtId="171" formatCode="0.0000"/>
    <numFmt numFmtId="172" formatCode="#,##0.0000_ ;\-#,##0.0000\ "/>
    <numFmt numFmtId="173" formatCode="dd\-mm\-yy;@"/>
    <numFmt numFmtId="174" formatCode="0.0000%"/>
    <numFmt numFmtId="175" formatCode="_-* #,##0.0000\ _€_-;\-* #,##0.0000\ _€_-;_-* &quot;-&quot;??\ _€_-;_-@_-"/>
    <numFmt numFmtId="176" formatCode="[$USD]\ #,##0;[$USD]\ \-#,##0"/>
    <numFmt numFmtId="177" formatCode="[$ARS]\ #,##0"/>
    <numFmt numFmtId="178" formatCode="_ &quot;$&quot;\ * #,##0.0_ ;_ &quot;$&quot;\ * \-#,##0.0_ ;_ &quot;$&quot;\ * &quot;-&quot;??_ ;_ @_ "/>
    <numFmt numFmtId="179" formatCode="#,##0.0000"/>
    <numFmt numFmtId="180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3"/>
      <name val="Calibri"/>
      <family val="2"/>
      <scheme val="minor"/>
    </font>
    <font>
      <i/>
      <sz val="9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8C227"/>
        <bgColor indexed="64"/>
      </patternFill>
    </fill>
    <fill>
      <patternFill patternType="solid">
        <fgColor rgb="FFE1ED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B1CD1E"/>
        <bgColor rgb="FFB1CD1E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/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66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 style="thick">
        <color rgb="FF00206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/>
      <top/>
      <bottom style="double">
        <color theme="0" tint="-0.34998626667073579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8" fontId="5" fillId="0" borderId="0" xfId="1" applyNumberFormat="1" applyFont="1" applyBorder="1" applyAlignment="1" applyProtection="1">
      <alignment horizontal="center" vertical="center"/>
      <protection hidden="1"/>
    </xf>
    <xf numFmtId="10" fontId="5" fillId="0" borderId="0" xfId="2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6" fontId="5" fillId="0" borderId="0" xfId="1" applyNumberFormat="1" applyFont="1" applyBorder="1" applyAlignment="1" applyProtection="1">
      <alignment horizontal="center" vertical="center"/>
      <protection hidden="1"/>
    </xf>
    <xf numFmtId="167" fontId="2" fillId="0" borderId="7" xfId="1" applyFont="1" applyFill="1" applyBorder="1" applyAlignment="1" applyProtection="1">
      <alignment horizontal="center" vertical="center"/>
      <protection hidden="1"/>
    </xf>
    <xf numFmtId="167" fontId="2" fillId="0" borderId="8" xfId="1" applyFont="1" applyFill="1" applyBorder="1" applyAlignment="1" applyProtection="1">
      <alignment horizontal="center" vertical="center"/>
      <protection hidden="1"/>
    </xf>
    <xf numFmtId="168" fontId="5" fillId="0" borderId="7" xfId="0" applyNumberFormat="1" applyFont="1" applyFill="1" applyBorder="1" applyAlignment="1" applyProtection="1">
      <alignment horizontal="center" vertical="center"/>
      <protection hidden="1"/>
    </xf>
    <xf numFmtId="171" fontId="6" fillId="0" borderId="8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9" fontId="5" fillId="0" borderId="0" xfId="2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1" fillId="3" borderId="0" xfId="0" applyFont="1" applyFill="1" applyBorder="1"/>
    <xf numFmtId="0" fontId="12" fillId="3" borderId="0" xfId="0" applyFont="1" applyFill="1" applyBorder="1" applyAlignment="1" applyProtection="1">
      <alignment horizontal="center" vertical="center"/>
      <protection hidden="1"/>
    </xf>
    <xf numFmtId="173" fontId="13" fillId="4" borderId="0" xfId="0" applyNumberFormat="1" applyFont="1" applyFill="1" applyBorder="1" applyAlignment="1" applyProtection="1">
      <alignment horizontal="left" vertical="center"/>
      <protection hidden="1"/>
    </xf>
    <xf numFmtId="173" fontId="14" fillId="3" borderId="0" xfId="0" applyNumberFormat="1" applyFont="1" applyFill="1" applyBorder="1" applyAlignment="1" applyProtection="1">
      <alignment horizontal="center" vertical="center"/>
      <protection hidden="1"/>
    </xf>
    <xf numFmtId="173" fontId="11" fillId="3" borderId="0" xfId="0" applyNumberFormat="1" applyFont="1" applyFill="1" applyBorder="1"/>
    <xf numFmtId="0" fontId="13" fillId="4" borderId="0" xfId="0" applyFont="1" applyFill="1" applyBorder="1" applyAlignment="1" applyProtection="1">
      <alignment horizontal="left" vertical="center"/>
      <protection hidden="1"/>
    </xf>
    <xf numFmtId="0" fontId="13" fillId="3" borderId="0" xfId="0" applyFont="1" applyFill="1" applyBorder="1" applyAlignment="1" applyProtection="1">
      <alignment horizontal="left" vertical="center"/>
      <protection hidden="1"/>
    </xf>
    <xf numFmtId="173" fontId="13" fillId="3" borderId="0" xfId="0" applyNumberFormat="1" applyFont="1" applyFill="1" applyBorder="1" applyAlignment="1" applyProtection="1">
      <alignment horizontal="left" vertical="center"/>
      <protection hidden="1"/>
    </xf>
    <xf numFmtId="4" fontId="14" fillId="3" borderId="0" xfId="0" applyNumberFormat="1" applyFont="1" applyFill="1" applyBorder="1" applyAlignment="1" applyProtection="1">
      <alignment horizontal="center" vertical="center"/>
      <protection hidden="1"/>
    </xf>
    <xf numFmtId="10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 applyProtection="1">
      <alignment horizontal="left" vertical="center"/>
      <protection hidden="1"/>
    </xf>
    <xf numFmtId="170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 applyProtection="1">
      <alignment horizontal="right" vertical="center"/>
      <protection hidden="1"/>
    </xf>
    <xf numFmtId="0" fontId="16" fillId="6" borderId="0" xfId="0" applyFont="1" applyFill="1" applyBorder="1" applyAlignment="1" applyProtection="1">
      <alignment horizontal="left" vertical="center"/>
      <protection hidden="1"/>
    </xf>
    <xf numFmtId="0" fontId="16" fillId="6" borderId="0" xfId="0" applyFont="1" applyFill="1" applyBorder="1" applyAlignment="1" applyProtection="1">
      <alignment horizontal="right" vertical="center"/>
      <protection hidden="1"/>
    </xf>
    <xf numFmtId="10" fontId="16" fillId="3" borderId="0" xfId="0" applyNumberFormat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172" fontId="15" fillId="3" borderId="0" xfId="1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/>
    <xf numFmtId="0" fontId="2" fillId="3" borderId="0" xfId="0" applyFont="1" applyFill="1" applyBorder="1"/>
    <xf numFmtId="173" fontId="8" fillId="8" borderId="0" xfId="0" applyNumberFormat="1" applyFont="1" applyFill="1" applyAlignment="1">
      <alignment horizontal="left"/>
    </xf>
    <xf numFmtId="15" fontId="20" fillId="0" borderId="0" xfId="0" applyNumberFormat="1" applyFont="1"/>
    <xf numFmtId="173" fontId="2" fillId="3" borderId="0" xfId="0" applyNumberFormat="1" applyFont="1" applyFill="1" applyAlignment="1">
      <alignment horizontal="left"/>
    </xf>
    <xf numFmtId="174" fontId="21" fillId="9" borderId="0" xfId="0" applyNumberFormat="1" applyFont="1" applyFill="1"/>
    <xf numFmtId="14" fontId="0" fillId="0" borderId="0" xfId="1" applyNumberFormat="1" applyFont="1"/>
    <xf numFmtId="2" fontId="20" fillId="0" borderId="0" xfId="0" applyNumberFormat="1" applyFont="1"/>
    <xf numFmtId="167" fontId="0" fillId="0" borderId="0" xfId="1" applyFont="1"/>
    <xf numFmtId="14" fontId="0" fillId="0" borderId="0" xfId="0" applyNumberFormat="1"/>
    <xf numFmtId="173" fontId="22" fillId="3" borderId="0" xfId="0" applyNumberFormat="1" applyFont="1" applyFill="1" applyAlignment="1">
      <alignment horizontal="left"/>
    </xf>
    <xf numFmtId="2" fontId="21" fillId="9" borderId="0" xfId="2" applyNumberFormat="1" applyFont="1" applyFill="1"/>
    <xf numFmtId="2" fontId="0" fillId="0" borderId="0" xfId="2" applyNumberFormat="1" applyFont="1"/>
    <xf numFmtId="167" fontId="5" fillId="0" borderId="0" xfId="0" applyNumberFormat="1" applyFont="1" applyBorder="1" applyAlignment="1" applyProtection="1">
      <alignment horizontal="center" vertical="center"/>
      <protection hidden="1"/>
    </xf>
    <xf numFmtId="2" fontId="6" fillId="0" borderId="0" xfId="2" applyNumberFormat="1" applyFont="1" applyAlignment="1" applyProtection="1">
      <alignment horizontal="center" vertical="center"/>
      <protection hidden="1"/>
    </xf>
    <xf numFmtId="168" fontId="16" fillId="6" borderId="0" xfId="1" applyNumberFormat="1" applyFont="1" applyFill="1" applyBorder="1" applyAlignment="1" applyProtection="1">
      <alignment horizontal="center" vertical="center"/>
      <protection hidden="1"/>
    </xf>
    <xf numFmtId="168" fontId="12" fillId="5" borderId="0" xfId="1" applyNumberFormat="1" applyFont="1" applyFill="1" applyBorder="1" applyAlignment="1" applyProtection="1">
      <alignment horizontal="center" vertical="center"/>
      <protection locked="0"/>
    </xf>
    <xf numFmtId="167" fontId="11" fillId="3" borderId="0" xfId="1" applyFont="1" applyFill="1" applyBorder="1"/>
    <xf numFmtId="175" fontId="11" fillId="3" borderId="0" xfId="1" applyNumberFormat="1" applyFont="1" applyFill="1" applyBorder="1"/>
    <xf numFmtId="164" fontId="11" fillId="3" borderId="0" xfId="0" applyNumberFormat="1" applyFont="1" applyFill="1" applyBorder="1"/>
    <xf numFmtId="175" fontId="0" fillId="0" borderId="0" xfId="1" applyNumberFormat="1" applyFont="1"/>
    <xf numFmtId="2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170" fontId="5" fillId="0" borderId="0" xfId="1" applyNumberFormat="1" applyFont="1" applyBorder="1" applyAlignment="1" applyProtection="1">
      <alignment horizontal="center" vertical="center"/>
      <protection hidden="1"/>
    </xf>
    <xf numFmtId="9" fontId="5" fillId="0" borderId="0" xfId="2" applyFont="1" applyBorder="1" applyAlignment="1" applyProtection="1">
      <alignment horizontal="center" vertical="center"/>
      <protection hidden="1"/>
    </xf>
    <xf numFmtId="169" fontId="5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right"/>
    </xf>
    <xf numFmtId="176" fontId="23" fillId="3" borderId="0" xfId="0" applyNumberFormat="1" applyFont="1" applyFill="1" applyBorder="1" applyAlignment="1">
      <alignment horizontal="left"/>
    </xf>
    <xf numFmtId="177" fontId="23" fillId="3" borderId="0" xfId="0" applyNumberFormat="1" applyFont="1" applyFill="1" applyBorder="1" applyAlignment="1">
      <alignment horizontal="left"/>
    </xf>
    <xf numFmtId="166" fontId="11" fillId="3" borderId="0" xfId="0" applyNumberFormat="1" applyFont="1" applyFill="1" applyBorder="1"/>
    <xf numFmtId="172" fontId="11" fillId="3" borderId="0" xfId="0" applyNumberFormat="1" applyFont="1" applyFill="1" applyBorder="1"/>
    <xf numFmtId="2" fontId="11" fillId="3" borderId="0" xfId="0" applyNumberFormat="1" applyFont="1" applyFill="1" applyBorder="1" applyAlignment="1">
      <alignment horizontal="center"/>
    </xf>
    <xf numFmtId="178" fontId="11" fillId="3" borderId="0" xfId="6" applyNumberFormat="1" applyFont="1" applyFill="1" applyBorder="1"/>
    <xf numFmtId="2" fontId="23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168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69" fontId="4" fillId="0" borderId="24" xfId="0" applyNumberFormat="1" applyFont="1" applyBorder="1" applyAlignment="1" applyProtection="1">
      <alignment horizontal="center" vertical="center"/>
      <protection hidden="1"/>
    </xf>
    <xf numFmtId="167" fontId="4" fillId="0" borderId="24" xfId="0" applyNumberFormat="1" applyFont="1" applyBorder="1" applyAlignment="1" applyProtection="1">
      <alignment horizontal="center" vertical="center"/>
      <protection hidden="1"/>
    </xf>
    <xf numFmtId="167" fontId="4" fillId="0" borderId="24" xfId="1" applyFont="1" applyBorder="1" applyAlignment="1" applyProtection="1">
      <alignment horizontal="center" vertical="center"/>
      <protection hidden="1"/>
    </xf>
    <xf numFmtId="9" fontId="4" fillId="0" borderId="24" xfId="2" applyFont="1" applyBorder="1" applyAlignment="1" applyProtection="1">
      <alignment horizontal="center" vertical="center"/>
      <protection hidden="1"/>
    </xf>
    <xf numFmtId="167" fontId="7" fillId="0" borderId="24" xfId="1" applyFont="1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1" fontId="9" fillId="3" borderId="2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167" fontId="2" fillId="0" borderId="0" xfId="1" applyFont="1" applyAlignment="1" applyProtection="1">
      <alignment horizontal="center" vertical="center"/>
      <protection hidden="1"/>
    </xf>
    <xf numFmtId="179" fontId="12" fillId="5" borderId="0" xfId="1" applyNumberFormat="1" applyFont="1" applyFill="1" applyBorder="1" applyAlignment="1" applyProtection="1">
      <alignment horizontal="center" vertical="center"/>
      <protection locked="0"/>
    </xf>
    <xf numFmtId="179" fontId="16" fillId="6" borderId="0" xfId="0" applyNumberFormat="1" applyFont="1" applyFill="1" applyBorder="1" applyAlignment="1" applyProtection="1">
      <alignment horizontal="center" vertical="center"/>
      <protection hidden="1"/>
    </xf>
    <xf numFmtId="179" fontId="11" fillId="3" borderId="0" xfId="0" applyNumberFormat="1" applyFont="1" applyFill="1" applyBorder="1"/>
    <xf numFmtId="180" fontId="16" fillId="6" borderId="0" xfId="2" applyNumberFormat="1" applyFont="1" applyFill="1" applyBorder="1" applyAlignment="1" applyProtection="1">
      <alignment horizontal="center" vertical="center"/>
      <protection hidden="1"/>
    </xf>
    <xf numFmtId="180" fontId="12" fillId="5" borderId="0" xfId="2" applyNumberFormat="1" applyFont="1" applyFill="1" applyBorder="1" applyAlignment="1" applyProtection="1">
      <alignment horizontal="center" vertical="center"/>
      <protection locked="0" hidden="1"/>
    </xf>
    <xf numFmtId="0" fontId="17" fillId="3" borderId="0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 applyProtection="1">
      <alignment horizontal="center" vertical="center"/>
      <protection hidden="1"/>
    </xf>
    <xf numFmtId="0" fontId="18" fillId="7" borderId="17" xfId="0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27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</cellXfs>
  <cellStyles count="7">
    <cellStyle name="Millares" xfId="1" builtinId="3"/>
    <cellStyle name="Millares 2" xfId="3"/>
    <cellStyle name="Millares 2 2" xfId="4"/>
    <cellStyle name="Moneda" xfId="6" builtinId="4"/>
    <cellStyle name="Normal" xfId="0" builtinId="0"/>
    <cellStyle name="Normal 2" xfId="5"/>
    <cellStyle name="Porcentaje" xfId="2" builtinId="5"/>
  </cellStyles>
  <dxfs count="0"/>
  <tableStyles count="0" defaultTableStyle="TableStyleMedium9" defaultPivotStyle="PivotStyleLight16"/>
  <colors>
    <mruColors>
      <color rgb="FFE1EDA5"/>
      <color rgb="FFA8C227"/>
      <color rgb="FF003399"/>
      <color rgb="FFFF6600"/>
      <color rgb="FF006600"/>
      <color rgb="FF025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zoomScale="110" zoomScaleNormal="110" workbookViewId="0">
      <selection activeCell="E16" sqref="E16"/>
    </sheetView>
  </sheetViews>
  <sheetFormatPr baseColWidth="10" defaultColWidth="11.44140625" defaultRowHeight="12" x14ac:dyDescent="0.25"/>
  <cols>
    <col min="1" max="1" width="21.33203125" style="24" customWidth="1"/>
    <col min="2" max="2" width="15.5546875" style="24" customWidth="1"/>
    <col min="3" max="3" width="3.6640625" style="24" customWidth="1"/>
    <col min="4" max="4" width="21.44140625" style="24" customWidth="1"/>
    <col min="5" max="5" width="18.33203125" style="24" customWidth="1"/>
    <col min="6" max="6" width="4.109375" style="24" customWidth="1"/>
    <col min="7" max="7" width="15.5546875" style="24" customWidth="1"/>
    <col min="8" max="8" width="15.6640625" style="24" bestFit="1" customWidth="1"/>
    <col min="9" max="9" width="12.6640625" style="24" customWidth="1"/>
    <col min="10" max="16384" width="11.44140625" style="24"/>
  </cols>
  <sheetData>
    <row r="1" spans="3:10" ht="6" customHeight="1" thickBot="1" x14ac:dyDescent="0.3"/>
    <row r="2" spans="3:10" ht="13.8" x14ac:dyDescent="0.3">
      <c r="C2" s="43"/>
      <c r="D2" s="108" t="s">
        <v>58</v>
      </c>
      <c r="E2" s="109"/>
    </row>
    <row r="3" spans="3:10" ht="6.75" customHeight="1" x14ac:dyDescent="0.25">
      <c r="D3" s="25"/>
      <c r="E3" s="25"/>
    </row>
    <row r="4" spans="3:10" x14ac:dyDescent="0.25">
      <c r="C4" s="28"/>
      <c r="D4" s="26" t="s">
        <v>13</v>
      </c>
      <c r="E4" s="27">
        <v>44265</v>
      </c>
    </row>
    <row r="5" spans="3:10" x14ac:dyDescent="0.25">
      <c r="C5" s="28"/>
      <c r="D5" s="26" t="s">
        <v>57</v>
      </c>
      <c r="E5" s="27">
        <v>44281</v>
      </c>
    </row>
    <row r="6" spans="3:10" x14ac:dyDescent="0.25">
      <c r="C6" s="28"/>
      <c r="D6" s="26" t="s">
        <v>14</v>
      </c>
      <c r="E6" s="27">
        <v>45545</v>
      </c>
    </row>
    <row r="7" spans="3:10" ht="5.25" customHeight="1" x14ac:dyDescent="0.25">
      <c r="C7" s="28"/>
      <c r="D7" s="31"/>
      <c r="E7" s="27"/>
    </row>
    <row r="8" spans="3:10" x14ac:dyDescent="0.25">
      <c r="D8" s="29" t="s">
        <v>7</v>
      </c>
      <c r="E8" s="33">
        <v>2.7300000000000001E-2</v>
      </c>
    </row>
    <row r="9" spans="3:10" x14ac:dyDescent="0.25">
      <c r="D9" s="29" t="s">
        <v>23</v>
      </c>
      <c r="E9" s="41">
        <v>70.87</v>
      </c>
    </row>
    <row r="10" spans="3:10" ht="9" hidden="1" customHeight="1" x14ac:dyDescent="0.25">
      <c r="D10" s="29"/>
      <c r="E10" s="41"/>
    </row>
    <row r="11" spans="3:10" x14ac:dyDescent="0.25">
      <c r="D11" s="30"/>
      <c r="E11" s="33"/>
    </row>
    <row r="12" spans="3:10" x14ac:dyDescent="0.25">
      <c r="D12" s="29" t="s">
        <v>15</v>
      </c>
      <c r="E12" s="32">
        <f>+SUMPRODUCT('Clase VIII UVA'!E6:E19,'Clase VIII UVA'!H6:H19)/E23/365</f>
        <v>3.463013698630137</v>
      </c>
    </row>
    <row r="13" spans="3:10" ht="12.75" customHeight="1" x14ac:dyDescent="0.25">
      <c r="D13" s="29" t="s">
        <v>16</v>
      </c>
      <c r="E13" s="32">
        <f>+SUMPRODUCT('Clase VIII UVA'!E6:E19,'Clase VIII UVA'!R6:R19)/E9/365</f>
        <v>3.3122092325132777</v>
      </c>
      <c r="I13" s="60"/>
    </row>
    <row r="14" spans="3:10" ht="9" customHeight="1" x14ac:dyDescent="0.25">
      <c r="G14" s="73"/>
      <c r="H14" s="81"/>
      <c r="I14" s="79"/>
      <c r="J14" s="80"/>
    </row>
    <row r="15" spans="3:10" hidden="1" x14ac:dyDescent="0.25">
      <c r="D15" s="36" t="s">
        <v>9</v>
      </c>
      <c r="E15" s="35">
        <v>1000000</v>
      </c>
      <c r="J15" s="74"/>
    </row>
    <row r="16" spans="3:10" x14ac:dyDescent="0.25">
      <c r="C16" s="42"/>
      <c r="D16" s="36" t="s">
        <v>33</v>
      </c>
      <c r="E16" s="102">
        <v>1</v>
      </c>
      <c r="G16" s="73"/>
      <c r="J16" s="80"/>
    </row>
    <row r="17" spans="2:10" x14ac:dyDescent="0.25">
      <c r="D17" s="38" t="s">
        <v>6</v>
      </c>
      <c r="E17" s="105">
        <f>+XIRR('Clase VIII UVA'!M4:M19,'Clase VIII UVA'!D4:D19)</f>
        <v>2.7950629591941837E-2</v>
      </c>
      <c r="I17" s="59"/>
      <c r="J17" s="82"/>
    </row>
    <row r="18" spans="2:10" x14ac:dyDescent="0.25">
      <c r="E18" s="104"/>
      <c r="I18" s="59"/>
      <c r="J18" s="82"/>
    </row>
    <row r="19" spans="2:10" x14ac:dyDescent="0.25">
      <c r="D19" s="36" t="s">
        <v>56</v>
      </c>
      <c r="E19" s="106">
        <v>0.03</v>
      </c>
      <c r="I19" s="59"/>
      <c r="J19" s="82"/>
    </row>
    <row r="20" spans="2:10" x14ac:dyDescent="0.25">
      <c r="D20" s="38" t="s">
        <v>33</v>
      </c>
      <c r="E20" s="103">
        <f>+'Clase VIII UVA'!T4/(Vista!E23*Vista!E9)</f>
        <v>0.9934255487873741</v>
      </c>
      <c r="I20" s="59"/>
      <c r="J20" s="82"/>
    </row>
    <row r="21" spans="2:10" x14ac:dyDescent="0.25">
      <c r="D21" s="40"/>
      <c r="E21" s="39"/>
      <c r="I21" s="78"/>
    </row>
    <row r="22" spans="2:10" x14ac:dyDescent="0.25">
      <c r="D22" s="34" t="s">
        <v>31</v>
      </c>
      <c r="E22" s="58">
        <v>100000</v>
      </c>
      <c r="I22" s="61"/>
    </row>
    <row r="23" spans="2:10" x14ac:dyDescent="0.25">
      <c r="D23" s="37" t="s">
        <v>29</v>
      </c>
      <c r="E23" s="57">
        <f>+TRUNC(E22/E9,0)</f>
        <v>1411</v>
      </c>
    </row>
    <row r="24" spans="2:10" ht="9" customHeight="1" x14ac:dyDescent="0.25"/>
    <row r="25" spans="2:10" ht="9" customHeight="1" x14ac:dyDescent="0.25">
      <c r="E25" s="59"/>
    </row>
    <row r="26" spans="2:10" ht="13.95" customHeight="1" x14ac:dyDescent="0.25">
      <c r="B26" s="107" t="s">
        <v>10</v>
      </c>
      <c r="C26" s="107"/>
      <c r="D26" s="107"/>
      <c r="E26" s="107"/>
      <c r="F26" s="107"/>
      <c r="G26" s="107"/>
    </row>
    <row r="27" spans="2:10" x14ac:dyDescent="0.25">
      <c r="B27" s="107"/>
      <c r="C27" s="107"/>
      <c r="D27" s="107"/>
      <c r="E27" s="107"/>
      <c r="F27" s="107"/>
      <c r="G27" s="107"/>
    </row>
    <row r="28" spans="2:10" ht="8.25" customHeight="1" x14ac:dyDescent="0.25">
      <c r="B28" s="107"/>
      <c r="C28" s="107"/>
      <c r="D28" s="107"/>
      <c r="E28" s="107"/>
      <c r="F28" s="107"/>
      <c r="G28" s="107"/>
    </row>
    <row r="29" spans="2:10" x14ac:dyDescent="0.25">
      <c r="B29" s="107"/>
      <c r="C29" s="107"/>
      <c r="D29" s="107"/>
      <c r="E29" s="107"/>
      <c r="F29" s="107"/>
      <c r="G29" s="107"/>
    </row>
    <row r="30" spans="2:10" x14ac:dyDescent="0.25">
      <c r="B30" s="107"/>
      <c r="C30" s="107"/>
      <c r="D30" s="107"/>
      <c r="E30" s="107"/>
      <c r="F30" s="107"/>
      <c r="G30" s="107"/>
    </row>
    <row r="31" spans="2:10" x14ac:dyDescent="0.25">
      <c r="B31" s="107"/>
      <c r="C31" s="107"/>
      <c r="D31" s="107"/>
      <c r="E31" s="107"/>
      <c r="F31" s="107"/>
      <c r="G31" s="107"/>
    </row>
    <row r="32" spans="2:10" ht="9" customHeight="1" x14ac:dyDescent="0.25"/>
    <row r="34" spans="2:5" ht="14.1" customHeight="1" x14ac:dyDescent="0.25"/>
    <row r="35" spans="2:5" ht="8.1" customHeight="1" x14ac:dyDescent="0.25"/>
    <row r="36" spans="2:5" ht="15" customHeight="1" x14ac:dyDescent="0.25">
      <c r="C36" s="83"/>
      <c r="D36" s="83"/>
      <c r="E36" s="83"/>
    </row>
    <row r="37" spans="2:5" x14ac:dyDescent="0.25">
      <c r="B37" s="83"/>
      <c r="C37" s="83"/>
      <c r="D37" s="83"/>
      <c r="E37" s="83"/>
    </row>
    <row r="38" spans="2:5" ht="42" customHeight="1" x14ac:dyDescent="0.25">
      <c r="B38" s="83"/>
      <c r="C38" s="83"/>
      <c r="D38" s="83"/>
      <c r="E38" s="83"/>
    </row>
    <row r="43" spans="2:5" x14ac:dyDescent="0.25">
      <c r="B43" s="73"/>
    </row>
    <row r="44" spans="2:5" x14ac:dyDescent="0.25">
      <c r="B44" s="73"/>
    </row>
    <row r="45" spans="2:5" x14ac:dyDescent="0.25">
      <c r="B45" s="73"/>
    </row>
    <row r="46" spans="2:5" x14ac:dyDescent="0.25">
      <c r="B46" s="73"/>
    </row>
    <row r="47" spans="2:5" x14ac:dyDescent="0.25">
      <c r="D47" s="77"/>
    </row>
    <row r="48" spans="2:5" x14ac:dyDescent="0.25">
      <c r="B48" s="75"/>
      <c r="D48" s="76"/>
    </row>
  </sheetData>
  <sheetProtection sheet="1" selectLockedCells="1"/>
  <mergeCells count="2">
    <mergeCell ref="B26:G3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zoomScaleNormal="100" workbookViewId="0">
      <selection activeCell="K11" sqref="K11"/>
    </sheetView>
  </sheetViews>
  <sheetFormatPr baseColWidth="10" defaultColWidth="11.44140625" defaultRowHeight="19.5" customHeight="1" x14ac:dyDescent="0.3"/>
  <cols>
    <col min="1" max="1" width="3.33203125" style="1" customWidth="1"/>
    <col min="2" max="2" width="2.6640625" style="1" customWidth="1"/>
    <col min="3" max="3" width="8.33203125" style="1" customWidth="1"/>
    <col min="4" max="4" width="41.33203125" style="1" bestFit="1" customWidth="1"/>
    <col min="5" max="5" width="6" style="1" hidden="1" customWidth="1"/>
    <col min="6" max="6" width="13.44140625" style="1" customWidth="1"/>
    <col min="7" max="7" width="16.6640625" style="1" bestFit="1" customWidth="1"/>
    <col min="8" max="8" width="12.88671875" style="1" customWidth="1"/>
    <col min="9" max="9" width="15" style="1" customWidth="1"/>
    <col min="10" max="11" width="15.6640625" style="1" customWidth="1"/>
    <col min="12" max="12" width="14.33203125" style="1" customWidth="1"/>
    <col min="13" max="13" width="16.44140625" style="1" customWidth="1"/>
    <col min="14" max="14" width="3.6640625" style="1" customWidth="1"/>
    <col min="15" max="16" width="4.44140625" style="1" customWidth="1"/>
    <col min="17" max="17" width="14" style="1" hidden="1" customWidth="1"/>
    <col min="18" max="18" width="9.33203125" style="1" hidden="1" customWidth="1"/>
    <col min="19" max="20" width="14.88671875" style="1" hidden="1" customWidth="1"/>
    <col min="21" max="21" width="11.44140625" style="1" customWidth="1"/>
    <col min="22" max="16384" width="11.44140625" style="1"/>
  </cols>
  <sheetData>
    <row r="1" spans="1:20" ht="19.5" customHeight="1" thickBot="1" x14ac:dyDescent="0.35">
      <c r="B1" s="110" t="s">
        <v>32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20" ht="19.5" customHeight="1" x14ac:dyDescent="0.3">
      <c r="A2" s="7"/>
      <c r="B2" s="2"/>
      <c r="C2" s="2"/>
      <c r="D2" s="2"/>
      <c r="E2" s="3"/>
      <c r="F2" s="3"/>
      <c r="G2" s="2"/>
      <c r="H2" s="2"/>
      <c r="I2" s="2"/>
      <c r="J2" s="121"/>
      <c r="K2" s="121"/>
      <c r="L2" s="121"/>
      <c r="M2" s="20"/>
      <c r="N2" s="20"/>
      <c r="O2" s="8"/>
      <c r="P2" s="3"/>
    </row>
    <row r="3" spans="1:20" ht="19.5" customHeight="1" thickBot="1" x14ac:dyDescent="0.35">
      <c r="A3" s="7"/>
      <c r="B3" s="8"/>
      <c r="C3" s="99" t="s">
        <v>0</v>
      </c>
      <c r="D3" s="100" t="s">
        <v>12</v>
      </c>
      <c r="E3" s="100" t="s">
        <v>1</v>
      </c>
      <c r="F3" s="100" t="s">
        <v>2</v>
      </c>
      <c r="G3" s="100" t="s">
        <v>25</v>
      </c>
      <c r="H3" s="100" t="s">
        <v>3</v>
      </c>
      <c r="I3" s="100" t="s">
        <v>8</v>
      </c>
      <c r="J3" s="100" t="s">
        <v>11</v>
      </c>
      <c r="K3" s="100" t="s">
        <v>27</v>
      </c>
      <c r="L3" s="100" t="s">
        <v>26</v>
      </c>
      <c r="M3" s="100" t="s">
        <v>4</v>
      </c>
      <c r="N3" s="69"/>
      <c r="O3" s="9"/>
      <c r="P3" s="3"/>
      <c r="Q3" s="119" t="s">
        <v>5</v>
      </c>
      <c r="R3" s="120"/>
    </row>
    <row r="4" spans="1:20" ht="19.5" customHeight="1" thickTop="1" x14ac:dyDescent="0.3">
      <c r="A4" s="7"/>
      <c r="B4" s="8"/>
      <c r="C4" s="64"/>
      <c r="D4" s="67">
        <f>+Vista!E5</f>
        <v>44281</v>
      </c>
      <c r="E4" s="64"/>
      <c r="F4" s="64"/>
      <c r="G4" s="4"/>
      <c r="H4" s="64"/>
      <c r="I4" s="64"/>
      <c r="J4" s="64"/>
      <c r="K4" s="64"/>
      <c r="L4" s="64"/>
      <c r="M4" s="11">
        <f>-G6*Vista!E9*Vista!E16</f>
        <v>-99997.57</v>
      </c>
      <c r="N4" s="69"/>
      <c r="O4" s="9"/>
      <c r="P4" s="3"/>
      <c r="Q4" s="12">
        <f>(SUM(Q6:Q20))/$G$6</f>
        <v>70.870000564777939</v>
      </c>
      <c r="R4" s="13">
        <f>+SUM(R6:R19)</f>
        <v>70.870000564777939</v>
      </c>
      <c r="S4" s="101">
        <v>0</v>
      </c>
      <c r="T4" s="101">
        <f>+SUM(T6:T19)</f>
        <v>99340.140854653859</v>
      </c>
    </row>
    <row r="5" spans="1:20" ht="19.5" customHeight="1" x14ac:dyDescent="0.3">
      <c r="A5" s="69"/>
      <c r="B5" s="8"/>
      <c r="C5" s="64"/>
      <c r="D5" s="67">
        <v>44265</v>
      </c>
      <c r="E5" s="64"/>
      <c r="F5" s="64"/>
      <c r="G5" s="4"/>
      <c r="H5" s="64"/>
      <c r="I5" s="64"/>
      <c r="J5" s="64"/>
      <c r="K5" s="64"/>
      <c r="L5" s="64"/>
      <c r="M5" s="11"/>
      <c r="N5" s="69"/>
      <c r="O5" s="9"/>
      <c r="P5" s="3"/>
      <c r="Q5" s="12"/>
      <c r="R5" s="13"/>
      <c r="S5" s="101"/>
      <c r="T5" s="101"/>
    </row>
    <row r="6" spans="1:20" ht="19.5" customHeight="1" x14ac:dyDescent="0.3">
      <c r="A6" s="7"/>
      <c r="B6" s="8"/>
      <c r="C6" s="64">
        <v>1</v>
      </c>
      <c r="D6" s="67">
        <v>44357</v>
      </c>
      <c r="E6" s="65">
        <f>+D6-$D$4</f>
        <v>76</v>
      </c>
      <c r="F6" s="65">
        <f>+D6-D5</f>
        <v>92</v>
      </c>
      <c r="G6" s="68">
        <f>+Vista!E23</f>
        <v>1411</v>
      </c>
      <c r="H6" s="68">
        <f>+G6*I6</f>
        <v>0</v>
      </c>
      <c r="I6" s="18">
        <v>0</v>
      </c>
      <c r="J6" s="5">
        <f>+Vista!$E$8</f>
        <v>2.7300000000000001E-2</v>
      </c>
      <c r="K6" s="63">
        <f>+Vista!$E$9</f>
        <v>70.87</v>
      </c>
      <c r="L6" s="55">
        <f>+G6*K6*F6/365*J6</f>
        <v>688.09286797808227</v>
      </c>
      <c r="M6" s="11">
        <f>+L6+H6</f>
        <v>688.09286797808227</v>
      </c>
      <c r="N6" s="69"/>
      <c r="O6" s="9"/>
      <c r="P6" s="3"/>
      <c r="Q6" s="14">
        <f>+M6/((1+Vista!$E$17)^(E6/365))</f>
        <v>684.15452378706152</v>
      </c>
      <c r="R6" s="15">
        <f>+Q6/$G$6</f>
        <v>0.48487209339976012</v>
      </c>
      <c r="S6" s="101">
        <f t="shared" ref="S6:S18" si="0">+M6</f>
        <v>688.09286797808227</v>
      </c>
      <c r="T6" s="101">
        <f>+M6/(1+Vista!$E$19)^('Clase VIII UVA'!E6/365)</f>
        <v>683.87086219844025</v>
      </c>
    </row>
    <row r="7" spans="1:20" ht="19.5" customHeight="1" x14ac:dyDescent="0.3">
      <c r="A7" s="7"/>
      <c r="B7" s="8"/>
      <c r="C7" s="64">
        <v>2</v>
      </c>
      <c r="D7" s="67">
        <v>44449</v>
      </c>
      <c r="E7" s="65">
        <f t="shared" ref="E7:E19" si="1">+D7-$D$4</f>
        <v>168</v>
      </c>
      <c r="F7" s="65">
        <f t="shared" ref="F7:F16" si="2">+D7-D6</f>
        <v>92</v>
      </c>
      <c r="G7" s="68">
        <f>+G6-H6</f>
        <v>1411</v>
      </c>
      <c r="H7" s="68">
        <f t="shared" ref="H7:H19" si="3">+G7*I7</f>
        <v>0</v>
      </c>
      <c r="I7" s="66">
        <v>0</v>
      </c>
      <c r="J7" s="5">
        <f>+Vista!$E$8</f>
        <v>2.7300000000000001E-2</v>
      </c>
      <c r="K7" s="63">
        <f>+Vista!$E$9</f>
        <v>70.87</v>
      </c>
      <c r="L7" s="55">
        <f t="shared" ref="L7:L19" si="4">+G7*K7*F7/365*J7</f>
        <v>688.09286797808227</v>
      </c>
      <c r="M7" s="11">
        <f t="shared" ref="M7:M18" si="5">+L7+H7</f>
        <v>688.09286797808227</v>
      </c>
      <c r="N7" s="69"/>
      <c r="O7" s="9"/>
      <c r="P7" s="3"/>
      <c r="Q7" s="14">
        <f>+M7/((1+Vista!$E$17)^(E7/365))</f>
        <v>679.41720160315595</v>
      </c>
      <c r="R7" s="15">
        <f t="shared" ref="R7:R19" si="6">+Q7/$G$6</f>
        <v>0.48151467158267608</v>
      </c>
      <c r="S7" s="101">
        <f t="shared" si="0"/>
        <v>688.09286797808227</v>
      </c>
      <c r="T7" s="101">
        <f>+M7/(1+Vista!$E$19)^('Clase VIII UVA'!E7/365)</f>
        <v>678.79465831108359</v>
      </c>
    </row>
    <row r="8" spans="1:20" ht="19.5" customHeight="1" x14ac:dyDescent="0.3">
      <c r="A8" s="7"/>
      <c r="B8" s="8"/>
      <c r="C8" s="64">
        <v>3</v>
      </c>
      <c r="D8" s="67">
        <v>44540</v>
      </c>
      <c r="E8" s="65">
        <f t="shared" si="1"/>
        <v>259</v>
      </c>
      <c r="F8" s="65">
        <f t="shared" si="2"/>
        <v>91</v>
      </c>
      <c r="G8" s="68">
        <f t="shared" ref="G8:G16" si="7">+G7-H7</f>
        <v>1411</v>
      </c>
      <c r="H8" s="68">
        <f t="shared" si="3"/>
        <v>0</v>
      </c>
      <c r="I8" s="66">
        <v>0</v>
      </c>
      <c r="J8" s="5">
        <f>+Vista!$E$8</f>
        <v>2.7300000000000001E-2</v>
      </c>
      <c r="K8" s="63">
        <f>+Vista!$E$9</f>
        <v>70.87</v>
      </c>
      <c r="L8" s="55">
        <f t="shared" si="4"/>
        <v>680.61359767397266</v>
      </c>
      <c r="M8" s="11">
        <f t="shared" si="5"/>
        <v>680.61359767397266</v>
      </c>
      <c r="N8" s="69"/>
      <c r="O8" s="9"/>
      <c r="P8" s="3"/>
      <c r="Q8" s="14">
        <f>+M8/((1+Vista!$E$17)^(E8/365))</f>
        <v>667.42925540406623</v>
      </c>
      <c r="R8" s="15">
        <f t="shared" si="6"/>
        <v>0.4730186076570278</v>
      </c>
      <c r="S8" s="101">
        <f t="shared" si="0"/>
        <v>680.61359767397266</v>
      </c>
      <c r="T8" s="101">
        <f>+M8/(1+Vista!$E$19)^('Clase VIII UVA'!E8/365)</f>
        <v>666.48666950735503</v>
      </c>
    </row>
    <row r="9" spans="1:20" ht="19.5" customHeight="1" x14ac:dyDescent="0.3">
      <c r="A9" s="7"/>
      <c r="B9" s="8"/>
      <c r="C9" s="64">
        <v>4</v>
      </c>
      <c r="D9" s="67">
        <v>44630</v>
      </c>
      <c r="E9" s="65">
        <f t="shared" si="1"/>
        <v>349</v>
      </c>
      <c r="F9" s="65">
        <f t="shared" si="2"/>
        <v>90</v>
      </c>
      <c r="G9" s="68">
        <f t="shared" si="7"/>
        <v>1411</v>
      </c>
      <c r="H9" s="68">
        <f t="shared" si="3"/>
        <v>0</v>
      </c>
      <c r="I9" s="66">
        <v>0</v>
      </c>
      <c r="J9" s="5">
        <f>+Vista!$E$8</f>
        <v>2.7300000000000001E-2</v>
      </c>
      <c r="K9" s="63">
        <f>+Vista!$E$9</f>
        <v>70.87</v>
      </c>
      <c r="L9" s="55">
        <f t="shared" si="4"/>
        <v>673.13432736986306</v>
      </c>
      <c r="M9" s="11">
        <f t="shared" si="5"/>
        <v>673.13432736986306</v>
      </c>
      <c r="N9" s="69"/>
      <c r="O9" s="9"/>
      <c r="P9" s="3"/>
      <c r="Q9" s="14">
        <f>+M9/((1+Vista!$E$17)^(E9/365))</f>
        <v>655.62316941478241</v>
      </c>
      <c r="R9" s="15">
        <f t="shared" si="6"/>
        <v>0.46465143119403429</v>
      </c>
      <c r="S9" s="101">
        <f t="shared" si="0"/>
        <v>673.13432736986306</v>
      </c>
      <c r="T9" s="101">
        <f>+M9/(1+Vista!$E$19)^('Clase VIII UVA'!E9/365)</f>
        <v>654.37581736895061</v>
      </c>
    </row>
    <row r="10" spans="1:20" ht="19.5" customHeight="1" x14ac:dyDescent="0.3">
      <c r="A10" s="7"/>
      <c r="B10" s="8"/>
      <c r="C10" s="64">
        <v>5</v>
      </c>
      <c r="D10" s="67">
        <v>44722</v>
      </c>
      <c r="E10" s="65">
        <f t="shared" si="1"/>
        <v>441</v>
      </c>
      <c r="F10" s="65">
        <f t="shared" si="2"/>
        <v>92</v>
      </c>
      <c r="G10" s="68">
        <f t="shared" si="7"/>
        <v>1411</v>
      </c>
      <c r="H10" s="68">
        <f t="shared" si="3"/>
        <v>0</v>
      </c>
      <c r="I10" s="66">
        <v>0</v>
      </c>
      <c r="J10" s="5">
        <f>+Vista!$E$8</f>
        <v>2.7300000000000001E-2</v>
      </c>
      <c r="K10" s="63">
        <f>+Vista!$E$9</f>
        <v>70.87</v>
      </c>
      <c r="L10" s="55">
        <f t="shared" si="4"/>
        <v>688.09286797808227</v>
      </c>
      <c r="M10" s="11">
        <f t="shared" si="5"/>
        <v>688.09286797808227</v>
      </c>
      <c r="N10" s="69"/>
      <c r="O10" s="9"/>
      <c r="P10" s="3"/>
      <c r="Q10" s="14">
        <f>+M10/((1+Vista!$E$17)^(E10/365))</f>
        <v>665.55192836317985</v>
      </c>
      <c r="R10" s="15">
        <f t="shared" si="6"/>
        <v>0.4716881136521473</v>
      </c>
      <c r="S10" s="101">
        <f t="shared" si="0"/>
        <v>688.09286797808227</v>
      </c>
      <c r="T10" s="101">
        <f>+M10/(1+Vista!$E$19)^('Clase VIII UVA'!E10/365)</f>
        <v>663.95229339654384</v>
      </c>
    </row>
    <row r="11" spans="1:20" ht="19.5" customHeight="1" x14ac:dyDescent="0.3">
      <c r="A11" s="7"/>
      <c r="B11" s="8"/>
      <c r="C11" s="64">
        <v>6</v>
      </c>
      <c r="D11" s="67">
        <v>44814</v>
      </c>
      <c r="E11" s="65">
        <f t="shared" si="1"/>
        <v>533</v>
      </c>
      <c r="F11" s="65">
        <f t="shared" si="2"/>
        <v>92</v>
      </c>
      <c r="G11" s="68">
        <f t="shared" si="7"/>
        <v>1411</v>
      </c>
      <c r="H11" s="68">
        <f t="shared" si="3"/>
        <v>0</v>
      </c>
      <c r="I11" s="66">
        <v>0</v>
      </c>
      <c r="J11" s="5">
        <f>+Vista!$E$8</f>
        <v>2.7300000000000001E-2</v>
      </c>
      <c r="K11" s="63">
        <f>+Vista!$E$9</f>
        <v>70.87</v>
      </c>
      <c r="L11" s="55">
        <f t="shared" si="4"/>
        <v>688.09286797808227</v>
      </c>
      <c r="M11" s="11">
        <f t="shared" si="5"/>
        <v>688.09286797808227</v>
      </c>
      <c r="N11" s="69"/>
      <c r="O11" s="9"/>
      <c r="P11" s="3"/>
      <c r="Q11" s="14">
        <f>+M11/((1+Vista!$E$17)^(E11/365))</f>
        <v>660.94341697408106</v>
      </c>
      <c r="R11" s="15">
        <f t="shared" si="6"/>
        <v>0.46842198226370024</v>
      </c>
      <c r="S11" s="101">
        <f t="shared" si="0"/>
        <v>688.09286797808227</v>
      </c>
      <c r="T11" s="101">
        <f>+M11/(1+Vista!$E$19)^('Clase VIII UVA'!E11/365)</f>
        <v>659.02394010784826</v>
      </c>
    </row>
    <row r="12" spans="1:20" ht="19.5" customHeight="1" x14ac:dyDescent="0.3">
      <c r="A12" s="7"/>
      <c r="B12" s="8"/>
      <c r="C12" s="64">
        <v>7</v>
      </c>
      <c r="D12" s="67">
        <v>44905</v>
      </c>
      <c r="E12" s="65">
        <f t="shared" si="1"/>
        <v>624</v>
      </c>
      <c r="F12" s="65">
        <f t="shared" si="2"/>
        <v>91</v>
      </c>
      <c r="G12" s="68">
        <f t="shared" si="7"/>
        <v>1411</v>
      </c>
      <c r="H12" s="68">
        <f t="shared" si="3"/>
        <v>0</v>
      </c>
      <c r="I12" s="66">
        <v>0</v>
      </c>
      <c r="J12" s="5">
        <f>+Vista!$E$8</f>
        <v>2.7300000000000001E-2</v>
      </c>
      <c r="K12" s="63">
        <f>+Vista!$E$9</f>
        <v>70.87</v>
      </c>
      <c r="L12" s="55">
        <f t="shared" si="4"/>
        <v>680.61359767397266</v>
      </c>
      <c r="M12" s="11">
        <f t="shared" si="5"/>
        <v>680.61359767397266</v>
      </c>
      <c r="N12" s="69"/>
      <c r="O12" s="9"/>
      <c r="P12" s="3"/>
      <c r="Q12" s="14">
        <f>+M12/((1+Vista!$E$17)^(E12/365))</f>
        <v>649.28143063544871</v>
      </c>
      <c r="R12" s="15">
        <f t="shared" si="6"/>
        <v>0.46015693170478295</v>
      </c>
      <c r="S12" s="101">
        <f t="shared" si="0"/>
        <v>680.61359767397266</v>
      </c>
      <c r="T12" s="101">
        <f>+M12/(1+Vista!$E$19)^('Clase VIII UVA'!E12/365)</f>
        <v>647.07443641490784</v>
      </c>
    </row>
    <row r="13" spans="1:20" ht="19.5" customHeight="1" x14ac:dyDescent="0.3">
      <c r="A13" s="7"/>
      <c r="B13" s="8"/>
      <c r="C13" s="64">
        <v>8</v>
      </c>
      <c r="D13" s="67">
        <v>44995</v>
      </c>
      <c r="E13" s="65">
        <f t="shared" si="1"/>
        <v>714</v>
      </c>
      <c r="F13" s="65">
        <f t="shared" si="2"/>
        <v>90</v>
      </c>
      <c r="G13" s="68">
        <f t="shared" si="7"/>
        <v>1411</v>
      </c>
      <c r="H13" s="68">
        <f t="shared" si="3"/>
        <v>0</v>
      </c>
      <c r="I13" s="66">
        <v>0</v>
      </c>
      <c r="J13" s="5">
        <f>+Vista!$E$8</f>
        <v>2.7300000000000001E-2</v>
      </c>
      <c r="K13" s="63">
        <f>+Vista!$E$9</f>
        <v>70.87</v>
      </c>
      <c r="L13" s="55">
        <f t="shared" si="4"/>
        <v>673.13432736986306</v>
      </c>
      <c r="M13" s="11">
        <f t="shared" si="5"/>
        <v>673.13432736986306</v>
      </c>
      <c r="N13" s="69"/>
      <c r="O13" s="9"/>
      <c r="P13" s="3"/>
      <c r="Q13" s="14">
        <f>+M13/((1+Vista!$E$17)^(E13/365))</f>
        <v>637.79635961217366</v>
      </c>
      <c r="R13" s="15">
        <f t="shared" si="6"/>
        <v>0.45201726407666454</v>
      </c>
      <c r="S13" s="101">
        <f t="shared" si="0"/>
        <v>673.13432736986306</v>
      </c>
      <c r="T13" s="101">
        <f>+M13/(1+Vista!$E$19)^('Clase VIII UVA'!E13/365)</f>
        <v>635.31632754267048</v>
      </c>
    </row>
    <row r="14" spans="1:20" ht="19.5" customHeight="1" x14ac:dyDescent="0.3">
      <c r="A14" s="7"/>
      <c r="B14" s="8"/>
      <c r="C14" s="64">
        <v>9</v>
      </c>
      <c r="D14" s="67">
        <v>45087</v>
      </c>
      <c r="E14" s="65">
        <f t="shared" si="1"/>
        <v>806</v>
      </c>
      <c r="F14" s="65">
        <f t="shared" si="2"/>
        <v>92</v>
      </c>
      <c r="G14" s="68">
        <f t="shared" si="7"/>
        <v>1411</v>
      </c>
      <c r="H14" s="68">
        <f t="shared" si="3"/>
        <v>0</v>
      </c>
      <c r="I14" s="66">
        <v>0</v>
      </c>
      <c r="J14" s="5">
        <f>+Vista!$E$8</f>
        <v>2.7300000000000001E-2</v>
      </c>
      <c r="K14" s="63">
        <f>+Vista!$E$9</f>
        <v>70.87</v>
      </c>
      <c r="L14" s="55">
        <f t="shared" si="4"/>
        <v>688.09286797808227</v>
      </c>
      <c r="M14" s="11">
        <f t="shared" si="5"/>
        <v>688.09286797808227</v>
      </c>
      <c r="N14" s="69"/>
      <c r="O14" s="9"/>
      <c r="P14" s="3"/>
      <c r="Q14" s="14">
        <f>+M14/((1+Vista!$E$17)^(E14/365))</f>
        <v>647.45514930749084</v>
      </c>
      <c r="R14" s="15">
        <f t="shared" si="6"/>
        <v>0.4588626146757554</v>
      </c>
      <c r="S14" s="101">
        <f t="shared" si="0"/>
        <v>688.09286797808227</v>
      </c>
      <c r="T14" s="101">
        <f>+M14/(1+Vista!$E$19)^('Clase VIII UVA'!E14/365)</f>
        <v>644.6138770840231</v>
      </c>
    </row>
    <row r="15" spans="1:20" ht="19.5" customHeight="1" x14ac:dyDescent="0.3">
      <c r="A15" s="7"/>
      <c r="B15" s="8"/>
      <c r="C15" s="64">
        <v>10</v>
      </c>
      <c r="D15" s="67">
        <v>45179</v>
      </c>
      <c r="E15" s="65">
        <f t="shared" si="1"/>
        <v>898</v>
      </c>
      <c r="F15" s="65">
        <f t="shared" si="2"/>
        <v>92</v>
      </c>
      <c r="G15" s="68">
        <f t="shared" si="7"/>
        <v>1411</v>
      </c>
      <c r="H15" s="68">
        <f t="shared" si="3"/>
        <v>0</v>
      </c>
      <c r="I15" s="66">
        <v>0</v>
      </c>
      <c r="J15" s="5">
        <f>+Vista!$E$8</f>
        <v>2.7300000000000001E-2</v>
      </c>
      <c r="K15" s="63">
        <f>+Vista!$E$9</f>
        <v>70.87</v>
      </c>
      <c r="L15" s="55">
        <f t="shared" si="4"/>
        <v>688.09286797808227</v>
      </c>
      <c r="M15" s="11">
        <f t="shared" si="5"/>
        <v>688.09286797808227</v>
      </c>
      <c r="N15" s="69"/>
      <c r="O15" s="9"/>
      <c r="P15" s="3"/>
      <c r="Q15" s="14">
        <f>+M15/((1+Vista!$E$17)^(E15/365))</f>
        <v>642.97194626599048</v>
      </c>
      <c r="R15" s="15">
        <f t="shared" si="6"/>
        <v>0.45568529147129022</v>
      </c>
      <c r="S15" s="101">
        <f t="shared" si="0"/>
        <v>688.09286797808227</v>
      </c>
      <c r="T15" s="101">
        <f>+M15/(1+Vista!$E$19)^('Clase VIII UVA'!E15/365)</f>
        <v>639.82906806587198</v>
      </c>
    </row>
    <row r="16" spans="1:20" ht="19.5" customHeight="1" x14ac:dyDescent="0.3">
      <c r="A16" s="7"/>
      <c r="B16" s="8"/>
      <c r="C16" s="64">
        <v>11</v>
      </c>
      <c r="D16" s="67">
        <v>45270</v>
      </c>
      <c r="E16" s="65">
        <f t="shared" si="1"/>
        <v>989</v>
      </c>
      <c r="F16" s="65">
        <f t="shared" si="2"/>
        <v>91</v>
      </c>
      <c r="G16" s="68">
        <f t="shared" si="7"/>
        <v>1411</v>
      </c>
      <c r="H16" s="68">
        <f t="shared" si="3"/>
        <v>0</v>
      </c>
      <c r="I16" s="66">
        <v>0</v>
      </c>
      <c r="J16" s="5">
        <f>+Vista!$E$8</f>
        <v>2.7300000000000001E-2</v>
      </c>
      <c r="K16" s="63">
        <f>+Vista!$E$9</f>
        <v>70.87</v>
      </c>
      <c r="L16" s="55">
        <f t="shared" si="4"/>
        <v>680.61359767397266</v>
      </c>
      <c r="M16" s="11">
        <f t="shared" si="5"/>
        <v>680.61359767397266</v>
      </c>
      <c r="N16" s="69"/>
      <c r="O16" s="9"/>
      <c r="P16" s="3"/>
      <c r="Q16" s="14">
        <f>+M16/((1+Vista!$E$17)^(E16/365))</f>
        <v>631.62705673247103</v>
      </c>
      <c r="R16" s="15">
        <f t="shared" si="6"/>
        <v>0.44764497287914318</v>
      </c>
      <c r="S16" s="101">
        <f t="shared" si="0"/>
        <v>680.61359767397266</v>
      </c>
      <c r="T16" s="101">
        <f>+M16/(1+Vista!$E$19)^('Clase VIII UVA'!E16/365)</f>
        <v>628.22760816981338</v>
      </c>
    </row>
    <row r="17" spans="1:20" ht="19.5" customHeight="1" x14ac:dyDescent="0.3">
      <c r="A17" s="7"/>
      <c r="B17" s="8"/>
      <c r="C17" s="64">
        <v>12</v>
      </c>
      <c r="D17" s="67">
        <v>45361</v>
      </c>
      <c r="E17" s="65">
        <f t="shared" si="1"/>
        <v>1080</v>
      </c>
      <c r="F17" s="65">
        <f t="shared" ref="F17:F18" si="8">+D17-D16</f>
        <v>91</v>
      </c>
      <c r="G17" s="68">
        <f t="shared" ref="G17:G18" si="9">+G16-H16</f>
        <v>1411</v>
      </c>
      <c r="H17" s="68">
        <f t="shared" si="3"/>
        <v>0</v>
      </c>
      <c r="I17" s="66">
        <v>0</v>
      </c>
      <c r="J17" s="5">
        <f>+Vista!$E$8</f>
        <v>2.7300000000000001E-2</v>
      </c>
      <c r="K17" s="63">
        <f>+Vista!$E$9</f>
        <v>70.87</v>
      </c>
      <c r="L17" s="55">
        <f t="shared" si="4"/>
        <v>680.61359767397266</v>
      </c>
      <c r="M17" s="11">
        <f t="shared" si="5"/>
        <v>680.61359767397266</v>
      </c>
      <c r="N17" s="69"/>
      <c r="O17" s="9"/>
      <c r="P17" s="3"/>
      <c r="Q17" s="14">
        <f>+M17/((1+Vista!$E$17)^(E17/365))</f>
        <v>627.30082886135631</v>
      </c>
      <c r="R17" s="15">
        <f t="shared" si="6"/>
        <v>0.44457890068132977</v>
      </c>
      <c r="S17" s="101">
        <f t="shared" si="0"/>
        <v>680.61359767397266</v>
      </c>
      <c r="T17" s="101">
        <f>+M17/(1+Vista!$E$19)^('Clase VIII UVA'!E17/365)</f>
        <v>623.61493053930462</v>
      </c>
    </row>
    <row r="18" spans="1:20" ht="19.5" customHeight="1" x14ac:dyDescent="0.3">
      <c r="A18" s="7"/>
      <c r="B18" s="8"/>
      <c r="C18" s="64">
        <v>13</v>
      </c>
      <c r="D18" s="67">
        <v>45453</v>
      </c>
      <c r="E18" s="65">
        <f t="shared" si="1"/>
        <v>1172</v>
      </c>
      <c r="F18" s="65">
        <f t="shared" si="8"/>
        <v>92</v>
      </c>
      <c r="G18" s="68">
        <f t="shared" si="9"/>
        <v>1411</v>
      </c>
      <c r="H18" s="68">
        <f t="shared" si="3"/>
        <v>0</v>
      </c>
      <c r="I18" s="66">
        <v>0</v>
      </c>
      <c r="J18" s="5">
        <f>+Vista!$E$8</f>
        <v>2.7300000000000001E-2</v>
      </c>
      <c r="K18" s="63">
        <f>+Vista!$E$9</f>
        <v>70.87</v>
      </c>
      <c r="L18" s="55">
        <f t="shared" si="4"/>
        <v>688.09286797808227</v>
      </c>
      <c r="M18" s="11">
        <f t="shared" si="5"/>
        <v>688.09286797808227</v>
      </c>
      <c r="N18" s="69"/>
      <c r="O18" s="9"/>
      <c r="P18" s="3"/>
      <c r="Q18" s="14">
        <f>+M18/((1+Vista!$E$17)^(E18/365))</f>
        <v>629.80286460550849</v>
      </c>
      <c r="R18" s="15">
        <f t="shared" si="6"/>
        <v>0.44635213650284089</v>
      </c>
      <c r="S18" s="101">
        <f t="shared" si="0"/>
        <v>688.09286797808227</v>
      </c>
      <c r="T18" s="101">
        <f>+M18/(1+Vista!$E$19)^('Clase VIII UVA'!E18/365)</f>
        <v>625.78803535858094</v>
      </c>
    </row>
    <row r="19" spans="1:20" ht="19.5" customHeight="1" thickBot="1" x14ac:dyDescent="0.35">
      <c r="A19" s="7"/>
      <c r="B19" s="8"/>
      <c r="C19" s="64">
        <v>14</v>
      </c>
      <c r="D19" s="67">
        <v>45545</v>
      </c>
      <c r="E19" s="65">
        <f t="shared" si="1"/>
        <v>1264</v>
      </c>
      <c r="F19" s="65">
        <f>+D19-D18</f>
        <v>92</v>
      </c>
      <c r="G19" s="68">
        <f>+G18-H18</f>
        <v>1411</v>
      </c>
      <c r="H19" s="68">
        <f t="shared" si="3"/>
        <v>1411</v>
      </c>
      <c r="I19" s="66">
        <v>1</v>
      </c>
      <c r="J19" s="5">
        <f>+Vista!$E$8</f>
        <v>2.7300000000000001E-2</v>
      </c>
      <c r="K19" s="63">
        <f>+Vista!$E$9</f>
        <v>70.87</v>
      </c>
      <c r="L19" s="55">
        <f t="shared" si="4"/>
        <v>688.09286797808227</v>
      </c>
      <c r="M19" s="11">
        <f>+L19+(H19*K19)</f>
        <v>100685.66286797808</v>
      </c>
      <c r="N19" s="69"/>
      <c r="O19" s="9"/>
      <c r="P19" s="3"/>
      <c r="Q19" s="14">
        <f>+M19/((1+Vista!$E$17)^(E19/365))</f>
        <v>91518.215665334908</v>
      </c>
      <c r="R19" s="15">
        <f t="shared" si="6"/>
        <v>64.860535553036783</v>
      </c>
      <c r="S19" s="101">
        <f t="shared" ref="S19" si="10">+M19</f>
        <v>100685.66286797808</v>
      </c>
      <c r="T19" s="101">
        <f>+M19/(1+Vista!$E$19)^('Clase VIII UVA'!E19/365)</f>
        <v>90889.172330588466</v>
      </c>
    </row>
    <row r="20" spans="1:20" ht="19.5" hidden="1" customHeight="1" x14ac:dyDescent="0.3">
      <c r="A20" s="7"/>
      <c r="B20" s="8"/>
      <c r="C20" s="64"/>
      <c r="D20" s="67"/>
      <c r="E20" s="65"/>
      <c r="F20" s="65"/>
      <c r="G20" s="68"/>
      <c r="H20" s="68"/>
      <c r="I20" s="66"/>
      <c r="J20" s="5"/>
      <c r="K20" s="5"/>
      <c r="L20" s="84"/>
      <c r="M20" s="11"/>
      <c r="N20" s="21"/>
      <c r="O20" s="9"/>
      <c r="P20" s="3"/>
      <c r="Q20" s="14">
        <f>+M20/((1+Vista!$E$17)^(E20/365))</f>
        <v>0</v>
      </c>
      <c r="R20" s="15" t="e">
        <f>+Q20/#REF!</f>
        <v>#REF!</v>
      </c>
      <c r="S20" s="19">
        <f>+M20</f>
        <v>0</v>
      </c>
    </row>
    <row r="21" spans="1:20" ht="19.5" customHeight="1" thickTop="1" x14ac:dyDescent="0.3">
      <c r="A21" s="7"/>
      <c r="B21" s="8"/>
      <c r="C21" s="85"/>
      <c r="D21" s="86"/>
      <c r="E21" s="87"/>
      <c r="F21" s="87">
        <f>+SUM(F4:F20)</f>
        <v>1280</v>
      </c>
      <c r="G21" s="88">
        <f>+G20-H20</f>
        <v>0</v>
      </c>
      <c r="H21" s="88">
        <f>+SUM(H6:H20)</f>
        <v>1411</v>
      </c>
      <c r="I21" s="89">
        <f>+SUM(I6:I20)</f>
        <v>1</v>
      </c>
      <c r="J21" s="90"/>
      <c r="K21" s="90"/>
      <c r="L21" s="88">
        <f>+SUM(L6:L20)</f>
        <v>9573.4659892602758</v>
      </c>
      <c r="M21" s="88">
        <f>+SUM(M6:M20)</f>
        <v>109571.03598926027</v>
      </c>
      <c r="N21" s="69"/>
      <c r="O21" s="9"/>
      <c r="P21" s="3"/>
      <c r="Q21" s="16"/>
      <c r="R21" s="56">
        <f>+SUM(R6:R19)</f>
        <v>70.870000564777939</v>
      </c>
    </row>
    <row r="22" spans="1:20" ht="8.25" customHeight="1" thickBot="1" x14ac:dyDescent="0.35">
      <c r="A22" s="7"/>
      <c r="B22" s="7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9"/>
      <c r="P22" s="3"/>
      <c r="Q22" s="16"/>
      <c r="R22" s="16"/>
    </row>
    <row r="23" spans="1:20" s="3" customFormat="1" ht="19.5" customHeight="1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0"/>
    </row>
    <row r="24" spans="1:20" ht="19.5" customHeight="1" x14ac:dyDescent="0.3">
      <c r="A24" s="23"/>
      <c r="B24" s="113" t="s">
        <v>10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3"/>
    </row>
    <row r="25" spans="1:20" ht="19.5" customHeight="1" x14ac:dyDescent="0.3">
      <c r="A25" s="22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8"/>
    </row>
    <row r="27" spans="1:20" ht="19.5" customHeight="1" x14ac:dyDescent="0.3">
      <c r="E27" s="17"/>
    </row>
    <row r="28" spans="1:20" ht="19.5" customHeight="1" x14ac:dyDescent="0.3">
      <c r="E28" s="17"/>
    </row>
    <row r="29" spans="1:20" ht="19.5" customHeight="1" x14ac:dyDescent="0.3">
      <c r="E29" s="17"/>
    </row>
    <row r="30" spans="1:20" ht="19.5" customHeight="1" x14ac:dyDescent="0.3">
      <c r="E30" s="17"/>
    </row>
    <row r="31" spans="1:20" ht="19.5" customHeight="1" x14ac:dyDescent="0.3">
      <c r="E31" s="17"/>
    </row>
    <row r="32" spans="1:20" ht="19.5" customHeight="1" x14ac:dyDescent="0.3">
      <c r="E32" s="17"/>
    </row>
  </sheetData>
  <sheetProtection sheet="1" selectLockedCells="1"/>
  <mergeCells count="4">
    <mergeCell ref="B1:N1"/>
    <mergeCell ref="B24:N25"/>
    <mergeCell ref="Q3:R3"/>
    <mergeCell ref="J2:L2"/>
  </mergeCells>
  <pageMargins left="0.24" right="0.33" top="0.75" bottom="0.75" header="0.3" footer="0.3"/>
  <pageSetup paperSize="9" scale="94" orientation="landscape" r:id="rId1"/>
  <ignoredErrors>
    <ignoredError sqref="L20:L21 M17:M18" evalError="1"/>
    <ignoredError sqref="K6:K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selection activeCell="G16" sqref="G16"/>
    </sheetView>
  </sheetViews>
  <sheetFormatPr baseColWidth="10" defaultColWidth="10.88671875" defaultRowHeight="14.4" x14ac:dyDescent="0.3"/>
  <cols>
    <col min="2" max="3" width="11.44140625" style="93"/>
    <col min="5" max="5" width="12" style="46" customWidth="1"/>
    <col min="7" max="7" width="16.6640625" bestFit="1" customWidth="1"/>
  </cols>
  <sheetData>
    <row r="1" spans="1:12" x14ac:dyDescent="0.3">
      <c r="E1" s="44" t="s">
        <v>17</v>
      </c>
      <c r="H1" s="45"/>
    </row>
    <row r="2" spans="1:12" x14ac:dyDescent="0.3">
      <c r="B2" s="91" t="s">
        <v>18</v>
      </c>
      <c r="C2" s="92" t="s">
        <v>19</v>
      </c>
      <c r="E2" s="46">
        <v>42363</v>
      </c>
      <c r="G2" s="47" t="s">
        <v>28</v>
      </c>
      <c r="H2" s="53">
        <f>+((H3*L3)+(H4*L4))/(L3+L4)</f>
        <v>64.955342033333338</v>
      </c>
      <c r="I2" s="45">
        <v>44180</v>
      </c>
      <c r="J2" s="48">
        <f>+WORKDAY(I2,-7,$E$2:$E$83)</f>
        <v>44167</v>
      </c>
      <c r="K2" s="49" t="str">
        <f>+CONCATENATE("&gt;=",J2)</f>
        <v>&gt;=44167</v>
      </c>
      <c r="L2" s="50"/>
    </row>
    <row r="3" spans="1:12" x14ac:dyDescent="0.3">
      <c r="A3" s="51"/>
      <c r="B3" s="94">
        <v>44137</v>
      </c>
      <c r="C3" s="95">
        <v>60.16</v>
      </c>
      <c r="E3" s="46">
        <v>42369</v>
      </c>
      <c r="G3" t="s">
        <v>20</v>
      </c>
      <c r="H3" s="54">
        <f>+ROUND(AVERAGEIFS($C$3:$C$1562,$B$3:$B$1562,K2,$B$3:$B$1562,K4),6)</f>
        <v>65.364483000000007</v>
      </c>
      <c r="I3" s="45">
        <f>+Vista!E5</f>
        <v>44281</v>
      </c>
      <c r="L3" s="50">
        <f>+I3-I2</f>
        <v>101</v>
      </c>
    </row>
    <row r="4" spans="1:12" x14ac:dyDescent="0.3">
      <c r="A4" s="51"/>
      <c r="B4" s="94">
        <v>44138</v>
      </c>
      <c r="C4" s="95">
        <v>60.32</v>
      </c>
      <c r="E4" s="46">
        <v>42370</v>
      </c>
      <c r="G4" t="s">
        <v>24</v>
      </c>
      <c r="H4" s="54">
        <f>+AVERAGE(C115:C119)</f>
        <v>68.712000000000003</v>
      </c>
      <c r="I4" s="45">
        <v>44270</v>
      </c>
      <c r="J4" s="48">
        <f>+WORKDAY(I4,-8,$E$2:$E$83)</f>
        <v>44258</v>
      </c>
      <c r="K4" s="49" t="str">
        <f>+CONCATENATE("&lt;=",J4)</f>
        <v>&lt;=44258</v>
      </c>
      <c r="L4" s="50">
        <f>+I4-I3</f>
        <v>-11</v>
      </c>
    </row>
    <row r="5" spans="1:12" x14ac:dyDescent="0.3">
      <c r="A5" s="51"/>
      <c r="B5" s="94">
        <v>44139</v>
      </c>
      <c r="C5" s="95">
        <v>60.38</v>
      </c>
      <c r="E5" s="46">
        <v>42408</v>
      </c>
      <c r="H5" s="45"/>
      <c r="K5" s="50"/>
    </row>
    <row r="6" spans="1:12" x14ac:dyDescent="0.3">
      <c r="A6" s="51"/>
      <c r="B6" s="94">
        <v>44140</v>
      </c>
      <c r="C6" s="95">
        <v>60.43</v>
      </c>
      <c r="E6" s="46">
        <v>42409</v>
      </c>
      <c r="G6" t="s">
        <v>21</v>
      </c>
      <c r="H6" s="45"/>
      <c r="K6" s="50"/>
    </row>
    <row r="7" spans="1:12" x14ac:dyDescent="0.3">
      <c r="A7" s="51"/>
      <c r="B7" s="94">
        <v>44141</v>
      </c>
      <c r="C7" s="95">
        <v>60.48</v>
      </c>
      <c r="E7" s="46">
        <v>42453</v>
      </c>
      <c r="G7" t="s">
        <v>22</v>
      </c>
      <c r="H7" s="45"/>
      <c r="K7" s="50"/>
    </row>
    <row r="8" spans="1:12" x14ac:dyDescent="0.3">
      <c r="A8" s="51"/>
      <c r="B8" s="94">
        <v>44142</v>
      </c>
      <c r="C8" s="95">
        <v>60.48</v>
      </c>
      <c r="E8" s="46">
        <v>42454</v>
      </c>
      <c r="H8" s="45"/>
      <c r="K8" s="50"/>
    </row>
    <row r="9" spans="1:12" x14ac:dyDescent="0.3">
      <c r="A9" s="51"/>
      <c r="B9" s="94">
        <v>44143</v>
      </c>
      <c r="C9" s="95">
        <v>60.48</v>
      </c>
      <c r="E9" s="46">
        <v>42456</v>
      </c>
      <c r="G9" t="s">
        <v>30</v>
      </c>
      <c r="H9" s="24">
        <v>89.438299999999998</v>
      </c>
      <c r="I9" s="62">
        <f>+AVERAGE(H9:H11)</f>
        <v>89.213333333333324</v>
      </c>
      <c r="K9" s="50"/>
    </row>
    <row r="10" spans="1:12" x14ac:dyDescent="0.3">
      <c r="A10" s="51"/>
      <c r="B10" s="94">
        <v>44144</v>
      </c>
      <c r="C10" s="95">
        <v>60.48</v>
      </c>
      <c r="E10" s="46">
        <v>42462</v>
      </c>
      <c r="H10" s="24">
        <v>89.156700000000001</v>
      </c>
    </row>
    <row r="11" spans="1:12" x14ac:dyDescent="0.3">
      <c r="A11" s="51"/>
      <c r="B11" s="94">
        <v>44145</v>
      </c>
      <c r="C11" s="95">
        <v>60.7</v>
      </c>
      <c r="E11" s="46">
        <v>42491</v>
      </c>
      <c r="H11" s="24">
        <v>89.045000000000002</v>
      </c>
    </row>
    <row r="12" spans="1:12" x14ac:dyDescent="0.3">
      <c r="A12" s="51"/>
      <c r="B12" s="94">
        <v>44146</v>
      </c>
      <c r="C12" s="95">
        <v>60.75</v>
      </c>
      <c r="E12" s="46">
        <v>42515</v>
      </c>
      <c r="H12" s="24"/>
    </row>
    <row r="13" spans="1:12" x14ac:dyDescent="0.3">
      <c r="A13" s="51"/>
      <c r="B13" s="94">
        <v>44147</v>
      </c>
      <c r="C13" s="95">
        <v>60.81</v>
      </c>
      <c r="E13" s="46">
        <v>42541</v>
      </c>
    </row>
    <row r="14" spans="1:12" x14ac:dyDescent="0.3">
      <c r="A14" s="51"/>
      <c r="B14" s="94">
        <v>44148</v>
      </c>
      <c r="C14" s="95">
        <v>60.86</v>
      </c>
      <c r="E14" s="46">
        <v>42559</v>
      </c>
    </row>
    <row r="15" spans="1:12" x14ac:dyDescent="0.3">
      <c r="A15" s="51"/>
      <c r="B15" s="94">
        <v>44149</v>
      </c>
      <c r="C15" s="95">
        <v>60.92</v>
      </c>
      <c r="E15" s="46">
        <v>42560</v>
      </c>
    </row>
    <row r="16" spans="1:12" x14ac:dyDescent="0.3">
      <c r="A16" s="51"/>
      <c r="B16" s="94">
        <v>44150</v>
      </c>
      <c r="C16" s="95">
        <v>60.92</v>
      </c>
      <c r="E16" s="46">
        <v>42597</v>
      </c>
    </row>
    <row r="17" spans="1:5" x14ac:dyDescent="0.3">
      <c r="A17" s="51"/>
      <c r="B17" s="94">
        <v>44151</v>
      </c>
      <c r="C17" s="95">
        <v>60.92</v>
      </c>
      <c r="E17" s="46">
        <v>42653</v>
      </c>
    </row>
    <row r="18" spans="1:5" x14ac:dyDescent="0.3">
      <c r="A18" s="51"/>
      <c r="B18" s="94">
        <v>44152</v>
      </c>
      <c r="C18" s="95">
        <v>61.1</v>
      </c>
      <c r="E18" s="46">
        <v>42702</v>
      </c>
    </row>
    <row r="19" spans="1:5" x14ac:dyDescent="0.3">
      <c r="A19" s="51"/>
      <c r="B19" s="94">
        <v>44153</v>
      </c>
      <c r="C19" s="95">
        <v>61.18</v>
      </c>
      <c r="E19" s="46">
        <v>42712</v>
      </c>
    </row>
    <row r="20" spans="1:5" x14ac:dyDescent="0.3">
      <c r="A20" s="51"/>
      <c r="B20" s="94">
        <v>44154</v>
      </c>
      <c r="C20" s="95">
        <v>61.25</v>
      </c>
      <c r="E20" s="46">
        <v>42713</v>
      </c>
    </row>
    <row r="21" spans="1:5" x14ac:dyDescent="0.3">
      <c r="A21" s="51"/>
      <c r="B21" s="94">
        <v>44155</v>
      </c>
      <c r="C21" s="95">
        <v>61.33</v>
      </c>
      <c r="E21" s="52">
        <v>42702</v>
      </c>
    </row>
    <row r="22" spans="1:5" x14ac:dyDescent="0.3">
      <c r="A22" s="51"/>
      <c r="B22" s="94">
        <v>44156</v>
      </c>
      <c r="C22" s="95">
        <v>61.4</v>
      </c>
      <c r="E22" s="52">
        <v>42712</v>
      </c>
    </row>
    <row r="23" spans="1:5" x14ac:dyDescent="0.3">
      <c r="A23" s="51"/>
      <c r="B23" s="94">
        <v>44157</v>
      </c>
      <c r="C23" s="95">
        <v>61.4</v>
      </c>
      <c r="E23" s="52">
        <v>42713</v>
      </c>
    </row>
    <row r="24" spans="1:5" x14ac:dyDescent="0.3">
      <c r="A24" s="51"/>
      <c r="B24" s="94">
        <v>44158</v>
      </c>
      <c r="C24" s="95">
        <v>61.4</v>
      </c>
      <c r="E24" s="52">
        <v>42793</v>
      </c>
    </row>
    <row r="25" spans="1:5" x14ac:dyDescent="0.3">
      <c r="A25" s="51"/>
      <c r="B25" s="94">
        <v>44159</v>
      </c>
      <c r="C25" s="95">
        <v>61.4</v>
      </c>
      <c r="E25" s="52">
        <v>42794</v>
      </c>
    </row>
    <row r="26" spans="1:5" x14ac:dyDescent="0.3">
      <c r="A26" s="51"/>
      <c r="B26" s="94">
        <v>44160</v>
      </c>
      <c r="C26" s="95">
        <v>61.71</v>
      </c>
      <c r="E26" s="52">
        <v>42818</v>
      </c>
    </row>
    <row r="27" spans="1:5" x14ac:dyDescent="0.3">
      <c r="A27" s="51"/>
      <c r="B27" s="94">
        <v>44161</v>
      </c>
      <c r="C27" s="95">
        <v>61.79</v>
      </c>
      <c r="E27" s="52">
        <v>42827</v>
      </c>
    </row>
    <row r="28" spans="1:5" x14ac:dyDescent="0.3">
      <c r="A28" s="51"/>
      <c r="B28" s="94">
        <v>44162</v>
      </c>
      <c r="C28" s="95">
        <v>61.86</v>
      </c>
      <c r="E28" s="52">
        <v>42473</v>
      </c>
    </row>
    <row r="29" spans="1:5" x14ac:dyDescent="0.3">
      <c r="A29" s="51"/>
      <c r="B29" s="94">
        <v>44163</v>
      </c>
      <c r="C29" s="95">
        <v>61.94</v>
      </c>
      <c r="E29" s="52">
        <v>42839</v>
      </c>
    </row>
    <row r="30" spans="1:5" x14ac:dyDescent="0.3">
      <c r="A30" s="51"/>
      <c r="B30" s="94">
        <v>44164</v>
      </c>
      <c r="C30" s="95">
        <v>61.94</v>
      </c>
      <c r="E30" s="52">
        <v>42856</v>
      </c>
    </row>
    <row r="31" spans="1:5" x14ac:dyDescent="0.3">
      <c r="A31" s="51"/>
      <c r="B31" s="94">
        <v>44165</v>
      </c>
      <c r="C31" s="95">
        <v>61.94</v>
      </c>
      <c r="E31" s="52">
        <v>42880</v>
      </c>
    </row>
    <row r="32" spans="1:5" x14ac:dyDescent="0.3">
      <c r="A32" s="51"/>
      <c r="B32" s="94">
        <v>44166</v>
      </c>
      <c r="C32" s="95">
        <v>62.17</v>
      </c>
      <c r="E32" s="52">
        <v>42903</v>
      </c>
    </row>
    <row r="33" spans="1:5" x14ac:dyDescent="0.3">
      <c r="A33" s="51"/>
      <c r="B33" s="94">
        <v>44167</v>
      </c>
      <c r="C33" s="95">
        <v>62.25</v>
      </c>
      <c r="E33" s="52">
        <v>42906</v>
      </c>
    </row>
    <row r="34" spans="1:5" x14ac:dyDescent="0.3">
      <c r="A34" s="51"/>
      <c r="B34" s="94">
        <v>44168</v>
      </c>
      <c r="C34" s="95">
        <v>62.33</v>
      </c>
      <c r="E34" s="52">
        <v>42925</v>
      </c>
    </row>
    <row r="35" spans="1:5" x14ac:dyDescent="0.3">
      <c r="A35" s="51"/>
      <c r="B35" s="94">
        <v>44169</v>
      </c>
      <c r="C35" s="95">
        <v>62.41</v>
      </c>
      <c r="E35" s="52">
        <v>42968</v>
      </c>
    </row>
    <row r="36" spans="1:5" x14ac:dyDescent="0.3">
      <c r="A36" s="51"/>
      <c r="B36" s="94">
        <v>44170</v>
      </c>
      <c r="C36" s="95">
        <v>62.48</v>
      </c>
      <c r="E36" s="52">
        <v>43024</v>
      </c>
    </row>
    <row r="37" spans="1:5" x14ac:dyDescent="0.3">
      <c r="A37" s="51"/>
      <c r="B37" s="94">
        <v>44171</v>
      </c>
      <c r="C37" s="95">
        <v>62.48</v>
      </c>
      <c r="E37" s="52">
        <v>43059</v>
      </c>
    </row>
    <row r="38" spans="1:5" x14ac:dyDescent="0.3">
      <c r="A38" s="51"/>
      <c r="B38" s="94">
        <v>44172</v>
      </c>
      <c r="C38" s="95">
        <v>62.48</v>
      </c>
      <c r="E38" s="52">
        <v>43077</v>
      </c>
    </row>
    <row r="39" spans="1:5" x14ac:dyDescent="0.3">
      <c r="A39" s="51"/>
      <c r="B39" s="94">
        <v>44173</v>
      </c>
      <c r="C39" s="95">
        <v>62.48</v>
      </c>
      <c r="E39" s="52">
        <v>43094</v>
      </c>
    </row>
    <row r="40" spans="1:5" x14ac:dyDescent="0.3">
      <c r="A40" s="51"/>
      <c r="B40" s="94">
        <v>44174</v>
      </c>
      <c r="C40" s="95">
        <v>62.48</v>
      </c>
      <c r="E40" s="52">
        <v>43143</v>
      </c>
    </row>
    <row r="41" spans="1:5" x14ac:dyDescent="0.3">
      <c r="A41" s="51"/>
      <c r="B41" s="94">
        <v>44175</v>
      </c>
      <c r="C41" s="95">
        <v>62.87</v>
      </c>
      <c r="E41" s="52">
        <v>43144</v>
      </c>
    </row>
    <row r="42" spans="1:5" x14ac:dyDescent="0.3">
      <c r="A42" s="51"/>
      <c r="B42" s="94">
        <v>44176</v>
      </c>
      <c r="C42" s="95">
        <v>62.95</v>
      </c>
      <c r="E42" s="52">
        <v>43188</v>
      </c>
    </row>
    <row r="43" spans="1:5" x14ac:dyDescent="0.3">
      <c r="A43" s="51"/>
      <c r="B43" s="94">
        <v>44177</v>
      </c>
      <c r="C43" s="95">
        <v>63.03</v>
      </c>
      <c r="E43" s="52">
        <v>43189</v>
      </c>
    </row>
    <row r="44" spans="1:5" x14ac:dyDescent="0.3">
      <c r="A44" s="51"/>
      <c r="B44" s="94">
        <v>44178</v>
      </c>
      <c r="C44" s="95">
        <v>63.03</v>
      </c>
      <c r="E44" s="52">
        <v>43192</v>
      </c>
    </row>
    <row r="45" spans="1:5" x14ac:dyDescent="0.3">
      <c r="A45" s="51"/>
      <c r="B45" s="94">
        <v>44179</v>
      </c>
      <c r="C45" s="95">
        <v>63.03</v>
      </c>
      <c r="E45" s="52">
        <v>43220</v>
      </c>
    </row>
    <row r="46" spans="1:5" x14ac:dyDescent="0.3">
      <c r="A46" s="51"/>
      <c r="B46" s="94">
        <v>44180</v>
      </c>
      <c r="C46" s="95">
        <v>63.26</v>
      </c>
      <c r="E46" s="52">
        <v>43221</v>
      </c>
    </row>
    <row r="47" spans="1:5" x14ac:dyDescent="0.3">
      <c r="A47" s="51"/>
      <c r="B47" s="94">
        <v>44181</v>
      </c>
      <c r="C47" s="95">
        <v>63.34</v>
      </c>
      <c r="E47" s="52">
        <v>43245</v>
      </c>
    </row>
    <row r="48" spans="1:5" x14ac:dyDescent="0.3">
      <c r="A48" s="51"/>
      <c r="B48" s="94">
        <v>44182</v>
      </c>
      <c r="C48" s="95">
        <v>63.41</v>
      </c>
      <c r="E48" s="52">
        <v>43271</v>
      </c>
    </row>
    <row r="49" spans="1:7" x14ac:dyDescent="0.3">
      <c r="A49" s="51"/>
      <c r="B49" s="94">
        <v>44183</v>
      </c>
      <c r="C49" s="95">
        <v>63.47</v>
      </c>
      <c r="E49" s="52">
        <v>43290</v>
      </c>
    </row>
    <row r="50" spans="1:7" x14ac:dyDescent="0.3">
      <c r="A50" s="51"/>
      <c r="B50" s="94">
        <v>44184</v>
      </c>
      <c r="C50" s="95">
        <v>63.54</v>
      </c>
      <c r="E50" s="52">
        <v>43332</v>
      </c>
    </row>
    <row r="51" spans="1:7" x14ac:dyDescent="0.3">
      <c r="A51" s="51"/>
      <c r="B51" s="94">
        <v>44185</v>
      </c>
      <c r="C51" s="95">
        <v>63.54</v>
      </c>
      <c r="E51" s="52">
        <v>43388</v>
      </c>
    </row>
    <row r="52" spans="1:7" x14ac:dyDescent="0.3">
      <c r="A52" s="51"/>
      <c r="B52" s="94">
        <v>44186</v>
      </c>
      <c r="C52" s="95">
        <v>63.54</v>
      </c>
      <c r="E52" s="52">
        <v>43410</v>
      </c>
    </row>
    <row r="53" spans="1:7" x14ac:dyDescent="0.3">
      <c r="A53" s="51"/>
      <c r="B53" s="94">
        <v>44187</v>
      </c>
      <c r="C53" s="95">
        <v>63.73</v>
      </c>
      <c r="E53" s="52">
        <v>43423</v>
      </c>
    </row>
    <row r="54" spans="1:7" x14ac:dyDescent="0.3">
      <c r="A54" s="51"/>
      <c r="B54" s="94">
        <v>44188</v>
      </c>
      <c r="C54" s="95">
        <v>63.8</v>
      </c>
      <c r="E54" s="52">
        <v>43458</v>
      </c>
    </row>
    <row r="55" spans="1:7" x14ac:dyDescent="0.3">
      <c r="A55" s="51"/>
      <c r="B55" s="94">
        <v>44189</v>
      </c>
      <c r="C55" s="95">
        <v>63.86</v>
      </c>
      <c r="E55" s="52">
        <v>43459</v>
      </c>
    </row>
    <row r="56" spans="1:7" x14ac:dyDescent="0.3">
      <c r="A56" s="51"/>
      <c r="B56" s="94">
        <v>44190</v>
      </c>
      <c r="C56" s="95">
        <v>63.93</v>
      </c>
      <c r="E56" s="52">
        <v>43465</v>
      </c>
    </row>
    <row r="57" spans="1:7" x14ac:dyDescent="0.3">
      <c r="A57" s="51"/>
      <c r="B57" s="94">
        <v>44191</v>
      </c>
      <c r="C57" s="95">
        <v>63.93</v>
      </c>
      <c r="E57" s="52">
        <v>43466</v>
      </c>
    </row>
    <row r="58" spans="1:7" x14ac:dyDescent="0.3">
      <c r="A58" s="51"/>
      <c r="B58" s="94">
        <v>44192</v>
      </c>
      <c r="C58" s="95">
        <v>63.93</v>
      </c>
      <c r="E58" s="52">
        <v>43528</v>
      </c>
    </row>
    <row r="59" spans="1:7" x14ac:dyDescent="0.3">
      <c r="A59" s="51"/>
      <c r="B59" s="94">
        <v>44193</v>
      </c>
      <c r="C59" s="95">
        <v>63.93</v>
      </c>
      <c r="E59" s="52">
        <v>43529</v>
      </c>
      <c r="G59" s="51"/>
    </row>
    <row r="60" spans="1:7" x14ac:dyDescent="0.3">
      <c r="A60" s="51"/>
      <c r="B60" s="94">
        <v>44194</v>
      </c>
      <c r="C60" s="95">
        <v>64.19</v>
      </c>
      <c r="E60" s="52">
        <v>43548</v>
      </c>
      <c r="G60" s="51"/>
    </row>
    <row r="61" spans="1:7" x14ac:dyDescent="0.3">
      <c r="A61" s="51"/>
      <c r="B61" s="94">
        <v>44195</v>
      </c>
      <c r="C61" s="95">
        <v>64.25</v>
      </c>
      <c r="E61" s="52">
        <v>43557</v>
      </c>
      <c r="G61" s="51"/>
    </row>
    <row r="62" spans="1:7" x14ac:dyDescent="0.3">
      <c r="A62" s="51"/>
      <c r="B62" s="94">
        <v>44196</v>
      </c>
      <c r="C62" s="95">
        <v>64.319999999999993</v>
      </c>
      <c r="E62" s="52">
        <v>43574</v>
      </c>
    </row>
    <row r="63" spans="1:7" x14ac:dyDescent="0.3">
      <c r="A63" s="51"/>
      <c r="B63" s="94">
        <v>44197</v>
      </c>
      <c r="C63" s="96">
        <v>64.38</v>
      </c>
      <c r="E63" s="52">
        <v>43586</v>
      </c>
    </row>
    <row r="64" spans="1:7" x14ac:dyDescent="0.3">
      <c r="A64" s="51"/>
      <c r="B64" s="94">
        <v>44198</v>
      </c>
      <c r="C64" s="96">
        <v>64.38</v>
      </c>
      <c r="E64" s="52">
        <v>43610</v>
      </c>
    </row>
    <row r="65" spans="1:5" x14ac:dyDescent="0.3">
      <c r="A65" s="51"/>
      <c r="B65" s="94">
        <v>44199</v>
      </c>
      <c r="C65" s="96">
        <v>64.38</v>
      </c>
      <c r="E65" s="52">
        <v>43636</v>
      </c>
    </row>
    <row r="66" spans="1:5" x14ac:dyDescent="0.3">
      <c r="A66" s="51"/>
      <c r="B66" s="94">
        <v>44200</v>
      </c>
      <c r="C66" s="96">
        <v>64.38</v>
      </c>
      <c r="E66" s="52">
        <v>43655</v>
      </c>
    </row>
    <row r="67" spans="1:5" x14ac:dyDescent="0.3">
      <c r="A67" s="51"/>
      <c r="B67" s="94">
        <v>44201</v>
      </c>
      <c r="C67" s="96">
        <v>64.64</v>
      </c>
      <c r="E67" s="52">
        <v>43775</v>
      </c>
    </row>
    <row r="68" spans="1:5" x14ac:dyDescent="0.3">
      <c r="A68" s="51"/>
      <c r="B68" s="94">
        <v>44202</v>
      </c>
      <c r="C68" s="96">
        <v>64.709999999999994</v>
      </c>
      <c r="E68" s="52">
        <v>43807</v>
      </c>
    </row>
    <row r="69" spans="1:5" x14ac:dyDescent="0.3">
      <c r="A69" s="51"/>
      <c r="B69" s="94">
        <v>44203</v>
      </c>
      <c r="C69" s="97">
        <v>64.78</v>
      </c>
      <c r="E69" s="52">
        <v>43824</v>
      </c>
    </row>
    <row r="70" spans="1:5" x14ac:dyDescent="0.3">
      <c r="B70" s="98">
        <v>44204</v>
      </c>
      <c r="C70" s="93">
        <v>64.84</v>
      </c>
      <c r="E70" s="52">
        <v>43831</v>
      </c>
    </row>
    <row r="71" spans="1:5" x14ac:dyDescent="0.3">
      <c r="B71" s="98">
        <v>44205</v>
      </c>
      <c r="C71" s="93">
        <v>64.91</v>
      </c>
      <c r="E71" s="46">
        <v>44021</v>
      </c>
    </row>
    <row r="72" spans="1:5" x14ac:dyDescent="0.3">
      <c r="B72" s="98">
        <v>44206</v>
      </c>
      <c r="C72" s="93">
        <v>64.91</v>
      </c>
      <c r="E72" s="46">
        <v>44022</v>
      </c>
    </row>
    <row r="73" spans="1:5" x14ac:dyDescent="0.3">
      <c r="B73" s="98">
        <v>44207</v>
      </c>
      <c r="C73" s="93">
        <v>64.91</v>
      </c>
      <c r="E73" s="46">
        <v>44141</v>
      </c>
    </row>
    <row r="74" spans="1:5" x14ac:dyDescent="0.3">
      <c r="B74" s="98">
        <v>44208</v>
      </c>
      <c r="C74" s="93">
        <v>65.11</v>
      </c>
      <c r="E74" s="46">
        <v>44158</v>
      </c>
    </row>
    <row r="75" spans="1:5" x14ac:dyDescent="0.3">
      <c r="B75" s="98">
        <v>44209</v>
      </c>
      <c r="C75" s="93">
        <v>65.17</v>
      </c>
      <c r="E75" s="46">
        <v>44172</v>
      </c>
    </row>
    <row r="76" spans="1:5" x14ac:dyDescent="0.3">
      <c r="B76" s="98">
        <v>44210</v>
      </c>
      <c r="C76" s="93">
        <v>65.239999999999995</v>
      </c>
      <c r="E76" s="46">
        <v>44173</v>
      </c>
    </row>
    <row r="77" spans="1:5" x14ac:dyDescent="0.3">
      <c r="B77" s="98">
        <v>44211</v>
      </c>
      <c r="C77" s="93">
        <v>65.3</v>
      </c>
      <c r="E77" s="46">
        <v>44189</v>
      </c>
    </row>
    <row r="78" spans="1:5" x14ac:dyDescent="0.3">
      <c r="B78" s="98">
        <v>44212</v>
      </c>
      <c r="C78" s="93">
        <v>65.37</v>
      </c>
      <c r="E78" s="46">
        <v>44190</v>
      </c>
    </row>
    <row r="79" spans="1:5" x14ac:dyDescent="0.3">
      <c r="B79" s="98">
        <v>44213</v>
      </c>
      <c r="C79" s="93">
        <v>65.37</v>
      </c>
      <c r="E79" s="46">
        <v>44196</v>
      </c>
    </row>
    <row r="80" spans="1:5" x14ac:dyDescent="0.3">
      <c r="B80" s="98">
        <v>44214</v>
      </c>
      <c r="C80" s="93">
        <v>65.37</v>
      </c>
      <c r="E80" s="46">
        <v>44197</v>
      </c>
    </row>
    <row r="81" spans="2:5" x14ac:dyDescent="0.3">
      <c r="B81" s="98">
        <v>44215</v>
      </c>
      <c r="C81" s="93">
        <v>65.62</v>
      </c>
      <c r="E81" s="46">
        <v>44279</v>
      </c>
    </row>
    <row r="82" spans="2:5" x14ac:dyDescent="0.3">
      <c r="B82" s="98">
        <v>44216</v>
      </c>
      <c r="C82" s="93">
        <v>65.7</v>
      </c>
      <c r="E82" s="46">
        <v>44288</v>
      </c>
    </row>
    <row r="83" spans="2:5" x14ac:dyDescent="0.3">
      <c r="B83" s="98">
        <v>44217</v>
      </c>
      <c r="C83" s="93">
        <v>65.790000000000006</v>
      </c>
      <c r="E83" s="46">
        <v>44341</v>
      </c>
    </row>
    <row r="84" spans="2:5" x14ac:dyDescent="0.3">
      <c r="B84" s="98">
        <v>44218</v>
      </c>
      <c r="C84" s="93">
        <v>65.87</v>
      </c>
    </row>
    <row r="85" spans="2:5" x14ac:dyDescent="0.3">
      <c r="B85" s="98">
        <v>44219</v>
      </c>
      <c r="C85" s="93">
        <v>65.95</v>
      </c>
    </row>
    <row r="86" spans="2:5" x14ac:dyDescent="0.3">
      <c r="B86" s="98">
        <v>44220</v>
      </c>
      <c r="C86" s="93">
        <v>65.95</v>
      </c>
    </row>
    <row r="87" spans="2:5" x14ac:dyDescent="0.3">
      <c r="B87" s="98">
        <v>44221</v>
      </c>
      <c r="C87" s="93">
        <v>65.95</v>
      </c>
    </row>
    <row r="88" spans="2:5" x14ac:dyDescent="0.3">
      <c r="B88" s="98">
        <v>44222</v>
      </c>
      <c r="C88" s="93">
        <v>66.2</v>
      </c>
    </row>
    <row r="89" spans="2:5" x14ac:dyDescent="0.3">
      <c r="B89" s="98">
        <v>44223</v>
      </c>
      <c r="C89" s="93">
        <v>66.290000000000006</v>
      </c>
    </row>
    <row r="90" spans="2:5" x14ac:dyDescent="0.3">
      <c r="B90" s="98">
        <v>44224</v>
      </c>
      <c r="C90" s="93">
        <v>66.37</v>
      </c>
    </row>
    <row r="91" spans="2:5" x14ac:dyDescent="0.3">
      <c r="B91" s="98">
        <v>44225</v>
      </c>
      <c r="C91" s="93">
        <v>66.45</v>
      </c>
    </row>
    <row r="92" spans="2:5" x14ac:dyDescent="0.3">
      <c r="B92" s="98">
        <v>44226</v>
      </c>
      <c r="C92" s="93">
        <v>66.540000000000006</v>
      </c>
    </row>
    <row r="93" spans="2:5" x14ac:dyDescent="0.3">
      <c r="B93" s="98">
        <v>44227</v>
      </c>
      <c r="C93" s="93">
        <v>66.540000000000006</v>
      </c>
    </row>
    <row r="94" spans="2:5" x14ac:dyDescent="0.3">
      <c r="B94" s="98">
        <v>44228</v>
      </c>
      <c r="C94" s="93">
        <v>66.540000000000006</v>
      </c>
    </row>
    <row r="95" spans="2:5" x14ac:dyDescent="0.3">
      <c r="B95" s="98">
        <v>44229</v>
      </c>
      <c r="C95" s="93">
        <v>66.790000000000006</v>
      </c>
    </row>
    <row r="96" spans="2:5" x14ac:dyDescent="0.3">
      <c r="B96" s="98">
        <v>44230</v>
      </c>
      <c r="C96" s="93">
        <v>66.88</v>
      </c>
    </row>
    <row r="97" spans="2:3" x14ac:dyDescent="0.3">
      <c r="B97" s="98">
        <v>44231</v>
      </c>
      <c r="C97" s="93">
        <v>66.959999999999994</v>
      </c>
    </row>
    <row r="98" spans="2:3" x14ac:dyDescent="0.3">
      <c r="B98" s="98">
        <v>44232</v>
      </c>
      <c r="C98" s="93">
        <v>67.05</v>
      </c>
    </row>
    <row r="99" spans="2:3" x14ac:dyDescent="0.3">
      <c r="B99" s="98">
        <v>44233</v>
      </c>
      <c r="C99" s="93">
        <v>67.13</v>
      </c>
    </row>
    <row r="100" spans="2:3" x14ac:dyDescent="0.3">
      <c r="B100" s="98">
        <v>44234</v>
      </c>
      <c r="C100" s="93">
        <v>67.13</v>
      </c>
    </row>
    <row r="101" spans="2:3" x14ac:dyDescent="0.3">
      <c r="B101" s="98">
        <v>44235</v>
      </c>
      <c r="C101" s="93">
        <v>67.13</v>
      </c>
    </row>
    <row r="102" spans="2:3" x14ac:dyDescent="0.3">
      <c r="B102" s="98">
        <v>44236</v>
      </c>
      <c r="C102" s="93">
        <v>67.39</v>
      </c>
    </row>
    <row r="103" spans="2:3" x14ac:dyDescent="0.3">
      <c r="B103" s="98">
        <v>44237</v>
      </c>
      <c r="C103" s="93">
        <v>67.47</v>
      </c>
    </row>
    <row r="104" spans="2:3" x14ac:dyDescent="0.3">
      <c r="B104" s="98">
        <v>44238</v>
      </c>
      <c r="C104" s="93">
        <v>67.56</v>
      </c>
    </row>
    <row r="105" spans="2:3" x14ac:dyDescent="0.3">
      <c r="B105" s="98">
        <v>44239</v>
      </c>
      <c r="C105" s="93">
        <v>67.64</v>
      </c>
    </row>
    <row r="106" spans="2:3" x14ac:dyDescent="0.3">
      <c r="B106" s="98">
        <v>44240</v>
      </c>
      <c r="C106" s="93">
        <v>67.73</v>
      </c>
    </row>
    <row r="107" spans="2:3" x14ac:dyDescent="0.3">
      <c r="B107" s="98">
        <v>44241</v>
      </c>
      <c r="C107" s="93">
        <v>67.73</v>
      </c>
    </row>
    <row r="108" spans="2:3" x14ac:dyDescent="0.3">
      <c r="B108" s="98">
        <v>44242</v>
      </c>
      <c r="C108" s="93">
        <v>67.73</v>
      </c>
    </row>
    <row r="109" spans="2:3" x14ac:dyDescent="0.3">
      <c r="B109" s="98">
        <v>44243</v>
      </c>
      <c r="C109" s="93">
        <v>67.73</v>
      </c>
    </row>
    <row r="110" spans="2:3" x14ac:dyDescent="0.3">
      <c r="B110" s="98">
        <v>44244</v>
      </c>
      <c r="C110" s="93">
        <v>67.73</v>
      </c>
    </row>
    <row r="111" spans="2:3" x14ac:dyDescent="0.3">
      <c r="B111" s="98">
        <v>44245</v>
      </c>
      <c r="C111" s="93">
        <v>68.180000000000007</v>
      </c>
    </row>
    <row r="112" spans="2:3" x14ac:dyDescent="0.3">
      <c r="B112" s="98">
        <v>44246</v>
      </c>
      <c r="C112" s="93">
        <v>68.27</v>
      </c>
    </row>
    <row r="113" spans="2:3" x14ac:dyDescent="0.3">
      <c r="B113" s="98">
        <v>44247</v>
      </c>
      <c r="C113" s="93">
        <v>68.37</v>
      </c>
    </row>
    <row r="114" spans="2:3" x14ac:dyDescent="0.3">
      <c r="B114" s="98">
        <v>44248</v>
      </c>
      <c r="C114" s="93">
        <v>68.37</v>
      </c>
    </row>
    <row r="115" spans="2:3" x14ac:dyDescent="0.3">
      <c r="B115" s="98">
        <v>44249</v>
      </c>
      <c r="C115" s="93">
        <v>68.37</v>
      </c>
    </row>
    <row r="116" spans="2:3" x14ac:dyDescent="0.3">
      <c r="B116" s="98">
        <v>44250</v>
      </c>
      <c r="C116" s="93">
        <v>68.650000000000006</v>
      </c>
    </row>
    <row r="117" spans="2:3" x14ac:dyDescent="0.3">
      <c r="B117" s="98">
        <v>44251</v>
      </c>
      <c r="C117" s="93">
        <v>68.75</v>
      </c>
    </row>
    <row r="118" spans="2:3" x14ac:dyDescent="0.3">
      <c r="B118" s="98">
        <v>44252</v>
      </c>
      <c r="C118" s="93">
        <v>68.849999999999994</v>
      </c>
    </row>
    <row r="119" spans="2:3" x14ac:dyDescent="0.3">
      <c r="B119" s="98">
        <v>44253</v>
      </c>
      <c r="C119" s="93">
        <v>68.94</v>
      </c>
    </row>
    <row r="120" spans="2:3" x14ac:dyDescent="0.3">
      <c r="B120" s="98" t="s">
        <v>34</v>
      </c>
      <c r="C120" s="93" t="s">
        <v>35</v>
      </c>
    </row>
    <row r="121" spans="2:3" x14ac:dyDescent="0.3">
      <c r="B121" s="98" t="s">
        <v>36</v>
      </c>
      <c r="C121" s="93" t="s">
        <v>35</v>
      </c>
    </row>
    <row r="122" spans="2:3" x14ac:dyDescent="0.3">
      <c r="B122" s="98">
        <v>44199</v>
      </c>
      <c r="C122" s="93" t="s">
        <v>35</v>
      </c>
    </row>
    <row r="123" spans="2:3" x14ac:dyDescent="0.3">
      <c r="B123" s="98">
        <v>44230</v>
      </c>
      <c r="C123" s="93" t="s">
        <v>37</v>
      </c>
    </row>
    <row r="124" spans="2:3" x14ac:dyDescent="0.3">
      <c r="B124" s="98">
        <v>44258</v>
      </c>
      <c r="C124" s="93" t="s">
        <v>38</v>
      </c>
    </row>
    <row r="125" spans="2:3" x14ac:dyDescent="0.3">
      <c r="B125" s="98">
        <v>44289</v>
      </c>
      <c r="C125" s="93" t="s">
        <v>39</v>
      </c>
    </row>
    <row r="126" spans="2:3" x14ac:dyDescent="0.3">
      <c r="B126" s="98">
        <v>44319</v>
      </c>
      <c r="C126" s="93" t="s">
        <v>40</v>
      </c>
    </row>
    <row r="127" spans="2:3" x14ac:dyDescent="0.3">
      <c r="B127" s="98">
        <v>44350</v>
      </c>
      <c r="C127" s="93" t="s">
        <v>41</v>
      </c>
    </row>
    <row r="128" spans="2:3" x14ac:dyDescent="0.3">
      <c r="B128" s="98">
        <v>44380</v>
      </c>
      <c r="C128" s="93" t="s">
        <v>41</v>
      </c>
    </row>
    <row r="129" spans="2:3" x14ac:dyDescent="0.3">
      <c r="B129" s="98">
        <v>44411</v>
      </c>
      <c r="C129" s="93" t="s">
        <v>41</v>
      </c>
    </row>
    <row r="130" spans="2:3" x14ac:dyDescent="0.3">
      <c r="B130" s="98">
        <v>44442</v>
      </c>
      <c r="C130" s="93" t="s">
        <v>42</v>
      </c>
    </row>
    <row r="131" spans="2:3" x14ac:dyDescent="0.3">
      <c r="B131" s="98">
        <v>44472</v>
      </c>
      <c r="C131" s="93" t="s">
        <v>43</v>
      </c>
    </row>
    <row r="132" spans="2:3" x14ac:dyDescent="0.3">
      <c r="B132" s="98">
        <v>44503</v>
      </c>
      <c r="C132" s="93" t="s">
        <v>44</v>
      </c>
    </row>
    <row r="133" spans="2:3" x14ac:dyDescent="0.3">
      <c r="B133" s="98">
        <v>44533</v>
      </c>
      <c r="C133" s="93" t="s">
        <v>45</v>
      </c>
    </row>
    <row r="134" spans="2:3" x14ac:dyDescent="0.3">
      <c r="B134" s="98" t="s">
        <v>46</v>
      </c>
      <c r="C134" s="93" t="s">
        <v>47</v>
      </c>
    </row>
    <row r="135" spans="2:3" x14ac:dyDescent="0.3">
      <c r="B135" s="98" t="s">
        <v>48</v>
      </c>
      <c r="C135" s="93" t="s">
        <v>47</v>
      </c>
    </row>
    <row r="136" spans="2:3" x14ac:dyDescent="0.3">
      <c r="B136" s="98" t="s">
        <v>49</v>
      </c>
      <c r="C136" s="93" t="s">
        <v>47</v>
      </c>
    </row>
    <row r="137" spans="2:3" x14ac:dyDescent="0.3">
      <c r="B137" s="98" t="s">
        <v>50</v>
      </c>
      <c r="C137" s="93" t="s">
        <v>51</v>
      </c>
    </row>
    <row r="138" spans="2:3" x14ac:dyDescent="0.3">
      <c r="B138" s="98" t="s">
        <v>52</v>
      </c>
      <c r="C138" s="93" t="s">
        <v>53</v>
      </c>
    </row>
    <row r="139" spans="2:3" x14ac:dyDescent="0.3">
      <c r="B139" s="98" t="s">
        <v>54</v>
      </c>
      <c r="C139" s="93" t="s">
        <v>55</v>
      </c>
    </row>
    <row r="140" spans="2:3" x14ac:dyDescent="0.3">
      <c r="B140" s="98"/>
    </row>
    <row r="141" spans="2:3" x14ac:dyDescent="0.3">
      <c r="B141" s="98"/>
    </row>
    <row r="142" spans="2:3" x14ac:dyDescent="0.3">
      <c r="B142" s="98"/>
    </row>
    <row r="143" spans="2:3" x14ac:dyDescent="0.3">
      <c r="B143" s="98"/>
    </row>
    <row r="144" spans="2:3" x14ac:dyDescent="0.3">
      <c r="B144" s="98"/>
    </row>
    <row r="145" spans="2:2" x14ac:dyDescent="0.3">
      <c r="B145" s="98"/>
    </row>
    <row r="146" spans="2:2" x14ac:dyDescent="0.3">
      <c r="B146" s="98"/>
    </row>
    <row r="147" spans="2:2" x14ac:dyDescent="0.3">
      <c r="B147" s="98"/>
    </row>
    <row r="148" spans="2:2" x14ac:dyDescent="0.3">
      <c r="B148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Vista</vt:lpstr>
      <vt:lpstr>Clase VIII UVA</vt:lpstr>
      <vt:lpstr>UVA</vt:lpstr>
      <vt:lpstr>'Clase VIII UVA'!Área_de_impresión</vt:lpstr>
    </vt:vector>
  </TitlesOfParts>
  <Company>Banco Itau Argentina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Ponieman</dc:creator>
  <cp:lastModifiedBy>Mlisei</cp:lastModifiedBy>
  <cp:lastPrinted>2012-07-11T16:27:23Z</cp:lastPrinted>
  <dcterms:created xsi:type="dcterms:W3CDTF">2012-05-11T18:43:00Z</dcterms:created>
  <dcterms:modified xsi:type="dcterms:W3CDTF">2021-03-23T15:37:57Z</dcterms:modified>
</cp:coreProperties>
</file>