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ba.usr.bpba\files\1296BancadeInversion\EMISIONES\Red Surcos\ON Febrero 2021\Micrositio\"/>
    </mc:Choice>
  </mc:AlternateContent>
  <workbookProtection workbookAlgorithmName="SHA-512" workbookHashValue="RFamnjMHUjvrKqAaSn5imEbJrCVI1iPdEJXUI+nYy7gMm1KSyFX4m2nvWrMwbFlNaRD8fkRNAQ8CezhNIThu5w==" workbookSaltValue="T33doh9+hAjIZCXRhIWTFg==" workbookSpinCount="100000" lockStructure="1"/>
  <bookViews>
    <workbookView xWindow="0" yWindow="0" windowWidth="23040" windowHeight="8928" tabRatio="848"/>
  </bookViews>
  <sheets>
    <sheet name="Red Surcos" sheetId="15" r:id="rId1"/>
    <sheet name="Serie V USD Linked" sheetId="10" r:id="rId2"/>
    <sheet name="Badlar" sheetId="17" state="hidden" r:id="rId3"/>
  </sheets>
  <externalReferences>
    <externalReference r:id="rId4"/>
  </externalReferences>
  <definedNames>
    <definedName name="_DV_M3" localSheetId="1">'Serie V USD Linked'!$C$7</definedName>
    <definedName name="_xlnm.Print_Area" localSheetId="1">'Serie V USD Linked'!$B$2:$M$26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5" l="1"/>
  <c r="E4" i="15"/>
  <c r="H24" i="10" l="1"/>
  <c r="H23" i="10"/>
  <c r="H22" i="10"/>
  <c r="F5" i="10"/>
  <c r="E6" i="15" s="1"/>
  <c r="J4" i="17" l="1"/>
  <c r="K4" i="17" s="1"/>
  <c r="H4" i="17"/>
  <c r="B4" i="17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I3" i="17"/>
  <c r="L4" i="17" s="1"/>
  <c r="J2" i="17"/>
  <c r="K2" i="17" s="1"/>
  <c r="H3" i="17" l="1"/>
  <c r="L3" i="17"/>
  <c r="H2" i="17" l="1"/>
  <c r="F12" i="10" l="1"/>
  <c r="L17" i="10" l="1"/>
  <c r="H19" i="10" l="1"/>
  <c r="H20" i="10"/>
  <c r="H21" i="10"/>
  <c r="H18" i="10"/>
  <c r="J24" i="10"/>
  <c r="J23" i="10"/>
  <c r="J22" i="10"/>
  <c r="J21" i="10"/>
  <c r="J20" i="10"/>
  <c r="J19" i="10"/>
  <c r="J18" i="10"/>
  <c r="G18" i="10"/>
  <c r="D17" i="10"/>
  <c r="D18" i="10" s="1"/>
  <c r="D19" i="10" s="1"/>
  <c r="D20" i="10" s="1"/>
  <c r="D21" i="10" s="1"/>
  <c r="D22" i="10" s="1"/>
  <c r="D23" i="10" s="1"/>
  <c r="D24" i="10" s="1"/>
  <c r="G19" i="10" l="1"/>
  <c r="G20" i="10" s="1"/>
  <c r="E18" i="10"/>
  <c r="F18" i="10"/>
  <c r="K18" i="10" s="1"/>
  <c r="L18" i="10" s="1"/>
  <c r="F19" i="10"/>
  <c r="E19" i="10"/>
  <c r="I25" i="10"/>
  <c r="K19" i="10" l="1"/>
  <c r="L19" i="10" s="1"/>
  <c r="R19" i="10" s="1"/>
  <c r="F20" i="10"/>
  <c r="E20" i="10"/>
  <c r="G21" i="10"/>
  <c r="G22" i="10" s="1"/>
  <c r="G23" i="10" s="1"/>
  <c r="G24" i="10" s="1"/>
  <c r="R18" i="10" l="1"/>
  <c r="K20" i="10"/>
  <c r="L20" i="10" s="1"/>
  <c r="F21" i="10"/>
  <c r="K21" i="10" s="1"/>
  <c r="L21" i="10" s="1"/>
  <c r="E21" i="10"/>
  <c r="E22" i="10" l="1"/>
  <c r="F22" i="10"/>
  <c r="R20" i="10" l="1"/>
  <c r="F23" i="10"/>
  <c r="E23" i="10"/>
  <c r="F24" i="10" l="1"/>
  <c r="E24" i="10"/>
  <c r="F25" i="10" l="1"/>
  <c r="R21" i="10" l="1"/>
  <c r="H25" i="10" l="1"/>
  <c r="F10" i="10" s="1"/>
  <c r="E13" i="15" s="1"/>
  <c r="K22" i="10" l="1"/>
  <c r="L22" i="10" s="1"/>
  <c r="R22" i="10" l="1"/>
  <c r="K23" i="10"/>
  <c r="L23" i="10" s="1"/>
  <c r="R23" i="10" l="1"/>
  <c r="K24" i="10"/>
  <c r="L24" i="10" s="1"/>
  <c r="R24" i="10" l="1"/>
  <c r="K25" i="10" l="1"/>
  <c r="F13" i="10" l="1"/>
  <c r="Q13" i="10"/>
  <c r="E18" i="15" l="1"/>
  <c r="E19" i="15" s="1"/>
  <c r="F14" i="10"/>
  <c r="P19" i="10"/>
  <c r="Q19" i="10" s="1"/>
  <c r="P20" i="10"/>
  <c r="Q20" i="10" s="1"/>
  <c r="P18" i="10"/>
  <c r="P21" i="10"/>
  <c r="Q21" i="10" s="1"/>
  <c r="P22" i="10"/>
  <c r="Q22" i="10" s="1"/>
  <c r="P23" i="10"/>
  <c r="Q23" i="10" s="1"/>
  <c r="P24" i="10"/>
  <c r="Q24" i="10" s="1"/>
  <c r="Q18" i="10" l="1"/>
  <c r="P17" i="10"/>
  <c r="Q17" i="10" l="1"/>
  <c r="F11" i="10" s="1"/>
  <c r="E14" i="15" s="1"/>
  <c r="Q25" i="10"/>
</calcChain>
</file>

<file path=xl/sharedStrings.xml><?xml version="1.0" encoding="utf-8"?>
<sst xmlns="http://schemas.openxmlformats.org/spreadsheetml/2006/main" count="54" uniqueCount="44">
  <si>
    <t>Fecha de Vencimiento:</t>
  </si>
  <si>
    <t>Moneda:</t>
  </si>
  <si>
    <t>Base:</t>
  </si>
  <si>
    <t>N° Cupón</t>
  </si>
  <si>
    <t>Plazo</t>
  </si>
  <si>
    <t>Días</t>
  </si>
  <si>
    <t>Amortización</t>
  </si>
  <si>
    <t>Intereses</t>
  </si>
  <si>
    <t>Flujo</t>
  </si>
  <si>
    <t>Saldo</t>
  </si>
  <si>
    <t>VA Flujo</t>
  </si>
  <si>
    <t>Cupón</t>
  </si>
  <si>
    <t>Vida Promedio (años):</t>
  </si>
  <si>
    <t>Precio</t>
  </si>
  <si>
    <t>TIR (TEA)</t>
  </si>
  <si>
    <t>Check</t>
  </si>
  <si>
    <t>Cupón (TNA)</t>
  </si>
  <si>
    <t>Amortización %</t>
  </si>
  <si>
    <t>TNA</t>
  </si>
  <si>
    <t>VN a licitar</t>
  </si>
  <si>
    <t>Fecha de Emisión y Liquidación:</t>
  </si>
  <si>
    <t>US$ Linked</t>
  </si>
  <si>
    <t>Duration (años):</t>
  </si>
  <si>
    <t>Tasa Fija a Licitar (TNA)</t>
  </si>
  <si>
    <t xml:space="preserve">La presente planilla de cálculo debe ser considerada por el interesado al sólo efecto ilustrativo y ejemplificativo. Los resultados que esta arroje no serán vinculantes y pueden sufrir variaciones ante cambios en cualquiera de los supuestos de elaboración. A los efectos de la suscripción de las Obligaciones Negociables, el interesado deberá basarse en sus propios cálculos y evaluación de la información publicada en el Suplemento de Prospecto y en particular las consideraciones de riesgo para la inversión. </t>
  </si>
  <si>
    <t xml:space="preserve">Fechas de Devengamiento </t>
  </si>
  <si>
    <t>Badlar Conocida</t>
  </si>
  <si>
    <t>Badlar Ponderada</t>
  </si>
  <si>
    <t>Fecha de Emisión</t>
  </si>
  <si>
    <t>Fecha de Vencimiento</t>
  </si>
  <si>
    <t>Vida Promedio (años)</t>
  </si>
  <si>
    <t>Duration (años)</t>
  </si>
  <si>
    <t>Fecha de Liquidación</t>
  </si>
  <si>
    <t>A licitar (Precio ~ 100)</t>
  </si>
  <si>
    <t>Feriados</t>
  </si>
  <si>
    <t>Fechas</t>
  </si>
  <si>
    <t>Badlar BP</t>
  </si>
  <si>
    <t>Badlar Promedio</t>
  </si>
  <si>
    <t>ON Serie V - Dólar Linked</t>
  </si>
  <si>
    <t>Serie V USD Linked</t>
  </si>
  <si>
    <t xml:space="preserve">Red Surcos </t>
  </si>
  <si>
    <t>en su carácter de Emisor</t>
  </si>
  <si>
    <t>en su carácter de Colocador</t>
  </si>
  <si>
    <t xml:space="preserve"> Tc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</si>
</sst>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_ ;\-#,##0.00\ "/>
    <numFmt numFmtId="168" formatCode="[$-F800]dddd\,\ mmmm\ dd\,\ yyyy"/>
    <numFmt numFmtId="169" formatCode="#,##0_ ;\-#,##0\ "/>
    <numFmt numFmtId="170" formatCode="0.0000"/>
    <numFmt numFmtId="171" formatCode="0.0%"/>
    <numFmt numFmtId="172" formatCode="#,##0.0000_ ;\-#,##0.0000\ "/>
    <numFmt numFmtId="173" formatCode="0.000%"/>
    <numFmt numFmtId="174" formatCode="dd\-mm\-yy;@"/>
    <numFmt numFmtId="175" formatCode="0.0000%"/>
    <numFmt numFmtId="176" formatCode="#,##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rgb="FF0066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i/>
      <sz val="9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8C227"/>
        <bgColor indexed="64"/>
      </patternFill>
    </fill>
    <fill>
      <patternFill patternType="solid">
        <fgColor rgb="FFE1ED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B1CD1E"/>
        <bgColor rgb="FFB1CD1E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/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0" fontId="4" fillId="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6" fontId="5" fillId="0" borderId="0" xfId="1" applyNumberFormat="1" applyFont="1" applyBorder="1" applyAlignment="1" applyProtection="1">
      <alignment horizontal="center" vertical="center"/>
      <protection hidden="1"/>
    </xf>
    <xf numFmtId="169" fontId="5" fillId="0" borderId="0" xfId="1" applyNumberFormat="1" applyFont="1" applyBorder="1" applyAlignment="1" applyProtection="1">
      <alignment horizontal="center" vertical="center"/>
      <protection hidden="1"/>
    </xf>
    <xf numFmtId="167" fontId="5" fillId="0" borderId="0" xfId="2" applyNumberFormat="1" applyFont="1" applyBorder="1" applyAlignment="1" applyProtection="1">
      <alignment horizontal="center" vertical="center"/>
      <protection hidden="1"/>
    </xf>
    <xf numFmtId="9" fontId="5" fillId="0" borderId="0" xfId="2" applyFont="1" applyBorder="1" applyAlignment="1" applyProtection="1">
      <alignment horizontal="center" vertical="center"/>
      <protection hidden="1"/>
    </xf>
    <xf numFmtId="10" fontId="5" fillId="0" borderId="0" xfId="2" applyNumberFormat="1" applyFont="1" applyBorder="1" applyAlignment="1" applyProtection="1">
      <alignment horizontal="center" vertical="center"/>
      <protection hidden="1"/>
    </xf>
    <xf numFmtId="168" fontId="5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0" fontId="3" fillId="0" borderId="0" xfId="2" applyNumberFormat="1" applyFont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3" fontId="5" fillId="0" borderId="0" xfId="1" applyNumberFormat="1" applyFont="1" applyBorder="1" applyAlignment="1" applyProtection="1">
      <alignment horizontal="center" vertical="center"/>
      <protection hidden="1"/>
    </xf>
    <xf numFmtId="165" fontId="2" fillId="0" borderId="9" xfId="1" applyFont="1" applyFill="1" applyBorder="1" applyAlignment="1" applyProtection="1">
      <alignment horizontal="center" vertical="center"/>
      <protection hidden="1"/>
    </xf>
    <xf numFmtId="165" fontId="2" fillId="0" borderId="10" xfId="1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hidden="1"/>
    </xf>
    <xf numFmtId="166" fontId="5" fillId="0" borderId="9" xfId="0" applyNumberFormat="1" applyFont="1" applyFill="1" applyBorder="1" applyAlignment="1" applyProtection="1">
      <alignment horizontal="center" vertical="center"/>
      <protection hidden="1"/>
    </xf>
    <xf numFmtId="170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1" fontId="7" fillId="0" borderId="0" xfId="2" applyNumberFormat="1" applyFont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9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43" fontId="2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168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1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9" fontId="4" fillId="0" borderId="0" xfId="2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73" fontId="2" fillId="0" borderId="0" xfId="2" applyNumberFormat="1" applyFont="1" applyFill="1" applyBorder="1" applyAlignment="1" applyProtection="1">
      <alignment horizontal="center" vertical="center"/>
      <protection hidden="1"/>
    </xf>
    <xf numFmtId="10" fontId="2" fillId="0" borderId="0" xfId="2" applyNumberFormat="1" applyFont="1" applyAlignment="1" applyProtection="1">
      <alignment horizontal="center" vertical="center"/>
      <protection hidden="1"/>
    </xf>
    <xf numFmtId="0" fontId="4" fillId="4" borderId="20" xfId="0" applyFont="1" applyFill="1" applyBorder="1" applyAlignment="1" applyProtection="1">
      <alignment horizontal="right" vertical="center"/>
      <protection hidden="1"/>
    </xf>
    <xf numFmtId="0" fontId="4" fillId="4" borderId="22" xfId="0" applyFont="1" applyFill="1" applyBorder="1" applyAlignment="1" applyProtection="1">
      <alignment horizontal="right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right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right" vertical="center"/>
      <protection hidden="1"/>
    </xf>
    <xf numFmtId="0" fontId="4" fillId="0" borderId="22" xfId="0" applyFont="1" applyBorder="1" applyAlignment="1" applyProtection="1">
      <alignment horizontal="right" vertical="center"/>
      <protection hidden="1"/>
    </xf>
    <xf numFmtId="10" fontId="4" fillId="3" borderId="23" xfId="0" applyNumberFormat="1" applyFont="1" applyFill="1" applyBorder="1" applyAlignment="1" applyProtection="1">
      <alignment horizontal="center" vertical="center"/>
      <protection hidden="1"/>
    </xf>
    <xf numFmtId="167" fontId="4" fillId="0" borderId="23" xfId="1" applyNumberFormat="1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right" vertical="center"/>
      <protection hidden="1"/>
    </xf>
    <xf numFmtId="167" fontId="4" fillId="0" borderId="25" xfId="1" applyNumberFormat="1" applyFont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right" vertical="center"/>
      <protection hidden="1"/>
    </xf>
    <xf numFmtId="0" fontId="4" fillId="3" borderId="26" xfId="0" applyFont="1" applyFill="1" applyBorder="1" applyAlignment="1" applyProtection="1">
      <alignment horizontal="right" vertical="center"/>
      <protection hidden="1"/>
    </xf>
    <xf numFmtId="10" fontId="4" fillId="3" borderId="27" xfId="0" applyNumberFormat="1" applyFont="1" applyFill="1" applyBorder="1" applyAlignment="1" applyProtection="1">
      <alignment horizontal="center" vertical="center"/>
      <protection hidden="1"/>
    </xf>
    <xf numFmtId="14" fontId="6" fillId="4" borderId="21" xfId="0" applyNumberFormat="1" applyFont="1" applyFill="1" applyBorder="1" applyAlignment="1" applyProtection="1">
      <alignment horizontal="center" vertical="center"/>
      <protection hidden="1"/>
    </xf>
    <xf numFmtId="14" fontId="6" fillId="4" borderId="23" xfId="0" applyNumberFormat="1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0" fontId="2" fillId="4" borderId="17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169" fontId="13" fillId="0" borderId="21" xfId="1" applyNumberFormat="1" applyFont="1" applyBorder="1" applyAlignment="1" applyProtection="1">
      <alignment horizontal="center" vertical="center"/>
      <protection locked="0" hidden="1"/>
    </xf>
    <xf numFmtId="9" fontId="13" fillId="4" borderId="23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/>
    <xf numFmtId="0" fontId="18" fillId="3" borderId="0" xfId="0" applyFont="1" applyFill="1" applyBorder="1" applyAlignment="1" applyProtection="1">
      <alignment horizontal="center" vertical="center"/>
      <protection hidden="1"/>
    </xf>
    <xf numFmtId="174" fontId="19" fillId="4" borderId="0" xfId="0" applyNumberFormat="1" applyFont="1" applyFill="1" applyBorder="1" applyAlignment="1" applyProtection="1">
      <alignment horizontal="left" vertical="center"/>
      <protection hidden="1"/>
    </xf>
    <xf numFmtId="174" fontId="20" fillId="3" borderId="0" xfId="0" applyNumberFormat="1" applyFont="1" applyFill="1" applyBorder="1" applyAlignment="1" applyProtection="1">
      <alignment horizontal="center" vertical="center"/>
      <protection hidden="1"/>
    </xf>
    <xf numFmtId="174" fontId="17" fillId="3" borderId="0" xfId="0" applyNumberFormat="1" applyFont="1" applyFill="1" applyBorder="1"/>
    <xf numFmtId="0" fontId="19" fillId="4" borderId="0" xfId="0" applyFont="1" applyFill="1" applyBorder="1" applyAlignment="1" applyProtection="1">
      <alignment horizontal="left" vertical="center"/>
      <protection hidden="1"/>
    </xf>
    <xf numFmtId="0" fontId="19" fillId="3" borderId="0" xfId="0" applyFont="1" applyFill="1" applyBorder="1" applyAlignment="1" applyProtection="1">
      <alignment horizontal="left" vertical="center"/>
      <protection hidden="1"/>
    </xf>
    <xf numFmtId="174" fontId="19" fillId="3" borderId="0" xfId="0" applyNumberFormat="1" applyFont="1" applyFill="1" applyBorder="1" applyAlignment="1" applyProtection="1">
      <alignment horizontal="left" vertical="center"/>
      <protection hidden="1"/>
    </xf>
    <xf numFmtId="4" fontId="20" fillId="3" borderId="0" xfId="0" applyNumberFormat="1" applyFont="1" applyFill="1" applyBorder="1" applyAlignment="1" applyProtection="1">
      <alignment horizontal="center" vertical="center"/>
      <protection hidden="1"/>
    </xf>
    <xf numFmtId="10" fontId="21" fillId="3" borderId="0" xfId="0" applyNumberFormat="1" applyFont="1" applyFill="1" applyBorder="1" applyAlignment="1" applyProtection="1">
      <alignment horizontal="center" vertical="center"/>
      <protection hidden="1"/>
    </xf>
    <xf numFmtId="169" fontId="18" fillId="5" borderId="0" xfId="1" applyNumberFormat="1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Border="1" applyAlignment="1" applyProtection="1">
      <alignment horizontal="right" vertical="center"/>
      <protection hidden="1"/>
    </xf>
    <xf numFmtId="10" fontId="18" fillId="5" borderId="0" xfId="2" applyNumberFormat="1" applyFont="1" applyFill="1" applyBorder="1" applyAlignment="1" applyProtection="1">
      <alignment horizontal="center" vertical="center"/>
      <protection locked="0"/>
    </xf>
    <xf numFmtId="10" fontId="22" fillId="6" borderId="0" xfId="0" applyNumberFormat="1" applyFont="1" applyFill="1" applyBorder="1" applyAlignment="1" applyProtection="1">
      <alignment horizontal="center" vertical="center"/>
      <protection hidden="1"/>
    </xf>
    <xf numFmtId="0" fontId="22" fillId="6" borderId="0" xfId="0" applyFont="1" applyFill="1" applyBorder="1" applyAlignment="1" applyProtection="1">
      <alignment horizontal="right" vertical="center"/>
      <protection hidden="1"/>
    </xf>
    <xf numFmtId="10" fontId="22" fillId="3" borderId="0" xfId="0" applyNumberFormat="1" applyFont="1" applyFill="1" applyBorder="1" applyAlignment="1" applyProtection="1">
      <alignment horizontal="center" vertical="center"/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72" fontId="21" fillId="3" borderId="0" xfId="1" applyNumberFormat="1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/>
    <xf numFmtId="0" fontId="2" fillId="3" borderId="0" xfId="0" applyFont="1" applyFill="1" applyBorder="1"/>
    <xf numFmtId="0" fontId="0" fillId="3" borderId="0" xfId="0" applyFill="1"/>
    <xf numFmtId="174" fontId="14" fillId="8" borderId="0" xfId="0" applyNumberFormat="1" applyFont="1" applyFill="1" applyAlignment="1">
      <alignment horizontal="left"/>
    </xf>
    <xf numFmtId="15" fontId="26" fillId="0" borderId="0" xfId="0" applyNumberFormat="1" applyFont="1"/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74" fontId="2" fillId="3" borderId="0" xfId="0" applyNumberFormat="1" applyFont="1" applyFill="1" applyAlignment="1">
      <alignment horizontal="left"/>
    </xf>
    <xf numFmtId="175" fontId="27" fillId="9" borderId="0" xfId="0" applyNumberFormat="1" applyFont="1" applyFill="1"/>
    <xf numFmtId="14" fontId="0" fillId="0" borderId="0" xfId="1" applyNumberFormat="1" applyFont="1"/>
    <xf numFmtId="2" fontId="26" fillId="0" borderId="0" xfId="0" applyNumberFormat="1" applyFont="1"/>
    <xf numFmtId="165" fontId="0" fillId="0" borderId="0" xfId="1" applyFont="1"/>
    <xf numFmtId="14" fontId="0" fillId="0" borderId="0" xfId="0" applyNumberFormat="1"/>
    <xf numFmtId="170" fontId="15" fillId="3" borderId="32" xfId="0" applyNumberFormat="1" applyFont="1" applyFill="1" applyBorder="1" applyAlignment="1">
      <alignment horizontal="right"/>
    </xf>
    <xf numFmtId="175" fontId="0" fillId="0" borderId="0" xfId="0" applyNumberFormat="1"/>
    <xf numFmtId="174" fontId="28" fillId="3" borderId="0" xfId="0" applyNumberFormat="1" applyFont="1" applyFill="1" applyAlignment="1">
      <alignment horizontal="left"/>
    </xf>
    <xf numFmtId="0" fontId="0" fillId="3" borderId="32" xfId="0" applyFill="1" applyBorder="1"/>
    <xf numFmtId="0" fontId="0" fillId="3" borderId="33" xfId="0" applyFill="1" applyBorder="1"/>
    <xf numFmtId="0" fontId="17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0" xfId="0" applyFont="1" applyFill="1" applyBorder="1" applyAlignment="1"/>
    <xf numFmtId="0" fontId="17" fillId="3" borderId="0" xfId="0" applyFont="1" applyFill="1" applyBorder="1" applyAlignment="1"/>
    <xf numFmtId="176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4" fillId="7" borderId="18" xfId="0" applyFont="1" applyFill="1" applyBorder="1" applyAlignment="1" applyProtection="1">
      <alignment horizontal="center" vertical="center"/>
      <protection hidden="1"/>
    </xf>
    <xf numFmtId="0" fontId="24" fillId="7" borderId="19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>
      <alignment horizontal="center" wrapText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2" fillId="2" borderId="18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2" borderId="19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6" fillId="7" borderId="13" xfId="0" applyFont="1" applyFill="1" applyBorder="1" applyAlignment="1" applyProtection="1">
      <alignment horizontal="center" vertical="center"/>
      <protection hidden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E1EDA5"/>
      <color rgb="FFA8C227"/>
      <color rgb="FF003399"/>
      <color rgb="FFFF6600"/>
      <color rgb="FF006600"/>
      <color rgb="FF025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2</xdr:col>
      <xdr:colOff>257174</xdr:colOff>
      <xdr:row>13</xdr:row>
      <xdr:rowOff>95251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E2E509EC-0F3D-4005-A155-166AE30BA04C}"/>
            </a:ext>
          </a:extLst>
        </xdr:cNvPr>
        <xdr:cNvGrpSpPr/>
      </xdr:nvGrpSpPr>
      <xdr:grpSpPr>
        <a:xfrm>
          <a:off x="57150" y="38100"/>
          <a:ext cx="2364104" cy="1733551"/>
          <a:chOff x="11210925" y="238125"/>
          <a:chExt cx="2305049" cy="1704976"/>
        </a:xfrm>
      </xdr:grpSpPr>
      <xdr:pic>
        <xdr:nvPicPr>
          <xdr:cNvPr id="3" name="Picture 31">
            <a:extLst>
              <a:ext uri="{FF2B5EF4-FFF2-40B4-BE49-F238E27FC236}">
                <a16:creationId xmlns:a16="http://schemas.microsoft.com/office/drawing/2014/main" id="{DE02A78D-1D88-4563-87F4-D0C2E1DD7EC5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229975" y="238125"/>
            <a:ext cx="1943100" cy="699135"/>
          </a:xfrm>
          <a:prstGeom prst="rect">
            <a:avLst/>
          </a:prstGeom>
        </xdr:spPr>
      </xdr:pic>
      <xdr:pic>
        <xdr:nvPicPr>
          <xdr:cNvPr id="4" name="Picture 2">
            <a:extLst>
              <a:ext uri="{FF2B5EF4-FFF2-40B4-BE49-F238E27FC236}">
                <a16:creationId xmlns:a16="http://schemas.microsoft.com/office/drawing/2014/main" id="{51B80EA4-5EE6-4847-B937-206A2D052E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366" t="12695" r="87183" b="80469"/>
          <a:stretch>
            <a:fillRect/>
          </a:stretch>
        </xdr:blipFill>
        <xdr:spPr bwMode="auto">
          <a:xfrm>
            <a:off x="11210925" y="1428751"/>
            <a:ext cx="2305049" cy="514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21</xdr:col>
      <xdr:colOff>19049</xdr:colOff>
      <xdr:row>23</xdr:row>
      <xdr:rowOff>9526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F9B8760F-A8E3-4938-94C0-CC228FAE4616}"/>
            </a:ext>
          </a:extLst>
        </xdr:cNvPr>
        <xdr:cNvGrpSpPr/>
      </xdr:nvGrpSpPr>
      <xdr:grpSpPr>
        <a:xfrm>
          <a:off x="12184380" y="487680"/>
          <a:ext cx="2373629" cy="1716406"/>
          <a:chOff x="11210925" y="238125"/>
          <a:chExt cx="2305049" cy="1704976"/>
        </a:xfrm>
      </xdr:grpSpPr>
      <xdr:pic>
        <xdr:nvPicPr>
          <xdr:cNvPr id="5" name="Picture 31">
            <a:extLst>
              <a:ext uri="{FF2B5EF4-FFF2-40B4-BE49-F238E27FC236}">
                <a16:creationId xmlns:a16="http://schemas.microsoft.com/office/drawing/2014/main" id="{43ADBA66-5964-4ACF-9627-6AC1FD471E8C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229975" y="238125"/>
            <a:ext cx="1943100" cy="699135"/>
          </a:xfrm>
          <a:prstGeom prst="rect">
            <a:avLst/>
          </a:prstGeom>
        </xdr:spPr>
      </xdr:pic>
      <xdr:pic>
        <xdr:nvPicPr>
          <xdr:cNvPr id="6" name="Picture 2">
            <a:extLst>
              <a:ext uri="{FF2B5EF4-FFF2-40B4-BE49-F238E27FC236}">
                <a16:creationId xmlns:a16="http://schemas.microsoft.com/office/drawing/2014/main" id="{301D0C2E-DD95-46AB-A990-26903C78D5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366" t="12695" r="87183" b="80469"/>
          <a:stretch>
            <a:fillRect/>
          </a:stretch>
        </xdr:blipFill>
        <xdr:spPr bwMode="auto">
          <a:xfrm>
            <a:off x="11210925" y="1428751"/>
            <a:ext cx="2305049" cy="5143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ive\Banco\FyE\Emisiones\PAE\2021\Calculadora_ON_PA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E"/>
      <sheetName val="Clase 7 USD Linked (Reap.)"/>
      <sheetName val="Clase 8 $ Badlar (Reap.)"/>
      <sheetName val="Clase 8 $ Badlar (Reap.) CANJE"/>
      <sheetName val="Clase 9 USD Linked"/>
      <sheetName val="Badlar"/>
    </sheetNames>
    <sheetDataSet>
      <sheetData sheetId="0"/>
      <sheetData sheetId="1"/>
      <sheetData sheetId="2">
        <row r="5">
          <cell r="E5">
            <v>44239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zoomScaleNormal="100" workbookViewId="0">
      <selection activeCell="E17" sqref="E17"/>
    </sheetView>
  </sheetViews>
  <sheetFormatPr baseColWidth="10" defaultColWidth="11.44140625" defaultRowHeight="12" x14ac:dyDescent="0.25"/>
  <cols>
    <col min="1" max="1" width="2.5546875" style="73" customWidth="1"/>
    <col min="2" max="2" width="29" style="73" customWidth="1"/>
    <col min="3" max="3" width="18.109375" style="73" customWidth="1"/>
    <col min="4" max="4" width="16.44140625" style="73" customWidth="1"/>
    <col min="5" max="5" width="17.6640625" style="73" bestFit="1" customWidth="1"/>
    <col min="6" max="6" width="21.44140625" style="73" customWidth="1"/>
    <col min="7" max="7" width="6" style="73" customWidth="1"/>
    <col min="8" max="8" width="3.88671875" style="73" hidden="1" customWidth="1"/>
    <col min="9" max="9" width="21.44140625" style="73" hidden="1" customWidth="1"/>
    <col min="10" max="10" width="18.33203125" style="73" hidden="1" customWidth="1"/>
    <col min="11" max="16384" width="11.44140625" style="73"/>
  </cols>
  <sheetData>
    <row r="1" spans="2:18" ht="6" customHeight="1" thickBot="1" x14ac:dyDescent="0.3"/>
    <row r="2" spans="2:18" ht="13.8" x14ac:dyDescent="0.3">
      <c r="C2" s="92"/>
      <c r="D2" s="114" t="s">
        <v>38</v>
      </c>
      <c r="E2" s="115"/>
    </row>
    <row r="3" spans="2:18" ht="6.75" customHeight="1" x14ac:dyDescent="0.25">
      <c r="D3" s="74"/>
      <c r="E3" s="74"/>
    </row>
    <row r="4" spans="2:18" x14ac:dyDescent="0.25">
      <c r="C4" s="77"/>
      <c r="D4" s="75" t="s">
        <v>28</v>
      </c>
      <c r="E4" s="76">
        <f>+'Serie V USD Linked'!F4</f>
        <v>44252</v>
      </c>
    </row>
    <row r="5" spans="2:18" x14ac:dyDescent="0.25">
      <c r="C5" s="77"/>
      <c r="D5" s="75" t="s">
        <v>32</v>
      </c>
      <c r="E5" s="76">
        <f>+'Serie V USD Linked'!F4</f>
        <v>44252</v>
      </c>
    </row>
    <row r="6" spans="2:18" x14ac:dyDescent="0.25">
      <c r="C6" s="77"/>
      <c r="D6" s="75" t="s">
        <v>29</v>
      </c>
      <c r="E6" s="76">
        <f>+'Serie V USD Linked'!F5</f>
        <v>44890</v>
      </c>
    </row>
    <row r="7" spans="2:18" ht="5.25" customHeight="1" x14ac:dyDescent="0.25">
      <c r="C7" s="77"/>
      <c r="D7" s="80"/>
      <c r="E7" s="76"/>
    </row>
    <row r="8" spans="2:18" ht="14.4" x14ac:dyDescent="0.3">
      <c r="B8" s="110" t="s">
        <v>40</v>
      </c>
      <c r="D8" s="78" t="s">
        <v>16</v>
      </c>
      <c r="E8" s="82" t="s">
        <v>33</v>
      </c>
    </row>
    <row r="9" spans="2:18" ht="14.4" x14ac:dyDescent="0.3">
      <c r="B9" s="109" t="s">
        <v>41</v>
      </c>
      <c r="D9" s="78"/>
      <c r="E9" s="82"/>
      <c r="P9" s="111"/>
      <c r="Q9" s="111"/>
      <c r="R9" s="111"/>
    </row>
    <row r="10" spans="2:18" x14ac:dyDescent="0.25">
      <c r="D10" s="78" t="s">
        <v>43</v>
      </c>
      <c r="E10" s="113">
        <v>89.156700000000001</v>
      </c>
      <c r="P10" s="112"/>
      <c r="Q10" s="112"/>
      <c r="R10" s="112"/>
    </row>
    <row r="11" spans="2:18" ht="9" hidden="1" customHeight="1" x14ac:dyDescent="0.25">
      <c r="D11" s="78"/>
      <c r="E11" s="90"/>
    </row>
    <row r="12" spans="2:18" x14ac:dyDescent="0.25">
      <c r="D12" s="79"/>
      <c r="E12" s="82"/>
    </row>
    <row r="13" spans="2:18" x14ac:dyDescent="0.25">
      <c r="D13" s="78" t="s">
        <v>30</v>
      </c>
      <c r="E13" s="81">
        <f>+'Serie V USD Linked'!F10</f>
        <v>1.495915616438356</v>
      </c>
    </row>
    <row r="14" spans="2:18" ht="12.75" customHeight="1" x14ac:dyDescent="0.25">
      <c r="D14" s="78" t="s">
        <v>31</v>
      </c>
      <c r="E14" s="81">
        <f>+'Serie V USD Linked'!F11</f>
        <v>1.4340761277969312</v>
      </c>
    </row>
    <row r="15" spans="2:18" ht="9" customHeight="1" x14ac:dyDescent="0.25">
      <c r="B15" s="109" t="s">
        <v>42</v>
      </c>
    </row>
    <row r="16" spans="2:18" ht="12" hidden="1" customHeight="1" x14ac:dyDescent="0.25">
      <c r="D16" s="84" t="s">
        <v>19</v>
      </c>
      <c r="E16" s="83">
        <v>1000000</v>
      </c>
    </row>
    <row r="17" spans="2:18" x14ac:dyDescent="0.25">
      <c r="B17" s="109"/>
      <c r="C17" s="91"/>
      <c r="D17" s="84" t="s">
        <v>23</v>
      </c>
      <c r="E17" s="85">
        <v>6.7500000000000004E-2</v>
      </c>
    </row>
    <row r="18" spans="2:18" x14ac:dyDescent="0.25">
      <c r="D18" s="87" t="s">
        <v>14</v>
      </c>
      <c r="E18" s="86">
        <f>+'Serie V USD Linked'!F13</f>
        <v>6.922944486141204E-2</v>
      </c>
      <c r="P18" s="112"/>
      <c r="Q18" s="112"/>
      <c r="R18" s="112"/>
    </row>
    <row r="19" spans="2:18" x14ac:dyDescent="0.25">
      <c r="D19" s="87" t="s">
        <v>18</v>
      </c>
      <c r="E19" s="86">
        <f>((1+E18)^(90/365)-1)*(365/90)</f>
        <v>6.7493714504348809E-2</v>
      </c>
      <c r="P19" s="112"/>
      <c r="Q19" s="112"/>
      <c r="R19" s="112"/>
    </row>
    <row r="20" spans="2:18" x14ac:dyDescent="0.25">
      <c r="D20" s="87"/>
      <c r="E20" s="86"/>
    </row>
    <row r="21" spans="2:18" ht="9" customHeight="1" x14ac:dyDescent="0.25">
      <c r="D21" s="89"/>
      <c r="E21" s="88"/>
    </row>
    <row r="24" spans="2:18" ht="9" customHeight="1" x14ac:dyDescent="0.25"/>
    <row r="25" spans="2:18" ht="14.25" customHeight="1" x14ac:dyDescent="0.25"/>
    <row r="26" spans="2:18" ht="15" customHeight="1" x14ac:dyDescent="0.25">
      <c r="B26" s="116" t="s">
        <v>24</v>
      </c>
      <c r="C26" s="116"/>
      <c r="D26" s="116"/>
      <c r="E26" s="116"/>
      <c r="F26" s="116"/>
      <c r="G26" s="116"/>
      <c r="H26" s="116"/>
      <c r="I26" s="116"/>
      <c r="J26" s="116"/>
    </row>
    <row r="27" spans="2:18" x14ac:dyDescent="0.25">
      <c r="B27" s="116"/>
      <c r="C27" s="116"/>
      <c r="D27" s="116"/>
      <c r="E27" s="116"/>
      <c r="F27" s="116"/>
      <c r="G27" s="116"/>
      <c r="H27" s="116"/>
      <c r="I27" s="116"/>
      <c r="J27" s="116"/>
    </row>
    <row r="28" spans="2:18" ht="29.25" customHeight="1" x14ac:dyDescent="0.25">
      <c r="B28" s="116"/>
      <c r="C28" s="116"/>
      <c r="D28" s="116"/>
      <c r="E28" s="116"/>
      <c r="F28" s="116"/>
      <c r="G28" s="116"/>
      <c r="H28" s="116"/>
      <c r="I28" s="116"/>
      <c r="J28" s="116"/>
    </row>
  </sheetData>
  <sheetProtection algorithmName="SHA-512" hashValue="Mg+vYUu8FTAh4910HgN+pbWwagLPdNwSwW8ktuEVdLz3nqszoLcKtOfg6XFUL2Kcmhb4xyhN1OT7gvNbZZnhKg==" saltValue="+79NML+qt4yCHCUsJGsmgw==" spinCount="100000" sheet="1" objects="1" scenarios="1" selectLockedCells="1"/>
  <mergeCells count="2">
    <mergeCell ref="D2:E2"/>
    <mergeCell ref="B26:J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showGridLines="0" zoomScaleNormal="100" workbookViewId="0">
      <selection activeCell="G24" sqref="G24"/>
    </sheetView>
  </sheetViews>
  <sheetFormatPr baseColWidth="10" defaultColWidth="11.44140625" defaultRowHeight="19.5" customHeight="1" x14ac:dyDescent="0.3"/>
  <cols>
    <col min="1" max="1" width="3.33203125" style="3" customWidth="1"/>
    <col min="2" max="2" width="5.44140625" style="3" customWidth="1"/>
    <col min="3" max="3" width="8.109375" style="3" customWidth="1"/>
    <col min="4" max="4" width="41.109375" style="3" bestFit="1" customWidth="1"/>
    <col min="5" max="5" width="8.6640625" style="3" hidden="1" customWidth="1"/>
    <col min="6" max="6" width="13.44140625" style="3" customWidth="1"/>
    <col min="7" max="7" width="16.6640625" style="3" bestFit="1" customWidth="1"/>
    <col min="8" max="8" width="16" style="3" customWidth="1"/>
    <col min="9" max="9" width="15" style="3" customWidth="1"/>
    <col min="10" max="10" width="18.44140625" style="3" bestFit="1" customWidth="1"/>
    <col min="11" max="11" width="15.44140625" style="3" bestFit="1" customWidth="1"/>
    <col min="12" max="12" width="16.44140625" style="3" customWidth="1"/>
    <col min="13" max="13" width="3.6640625" style="3" customWidth="1"/>
    <col min="14" max="14" width="4.5546875" style="3" customWidth="1"/>
    <col min="15" max="15" width="4.5546875" style="3" hidden="1" customWidth="1"/>
    <col min="16" max="16" width="14" style="3" hidden="1" customWidth="1"/>
    <col min="17" max="17" width="9.33203125" style="3" hidden="1" customWidth="1"/>
    <col min="18" max="18" width="12.109375" style="3" hidden="1" customWidth="1"/>
    <col min="19" max="16384" width="11.44140625" style="3"/>
  </cols>
  <sheetData>
    <row r="1" spans="1:17" ht="19.5" customHeight="1" thickBot="1" x14ac:dyDescent="0.35">
      <c r="B1" s="132" t="s">
        <v>39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7" ht="19.5" hidden="1" customHeight="1" thickBot="1" x14ac:dyDescent="0.35">
      <c r="A2" s="17"/>
      <c r="B2" s="4"/>
      <c r="C2" s="4"/>
      <c r="D2" s="4"/>
      <c r="E2" s="5"/>
      <c r="F2" s="5"/>
      <c r="G2" s="4"/>
      <c r="H2" s="4"/>
      <c r="I2" s="4"/>
      <c r="J2" s="125"/>
      <c r="K2" s="125"/>
      <c r="L2" s="38"/>
      <c r="M2" s="38"/>
      <c r="N2" s="18"/>
      <c r="O2" s="5"/>
    </row>
    <row r="3" spans="1:17" ht="19.5" hidden="1" customHeight="1" x14ac:dyDescent="0.3">
      <c r="A3" s="17"/>
      <c r="B3" s="4"/>
      <c r="C3" s="4"/>
      <c r="D3" s="127" t="s">
        <v>38</v>
      </c>
      <c r="E3" s="128"/>
      <c r="F3" s="129"/>
      <c r="G3" s="4"/>
      <c r="H3" s="4"/>
      <c r="I3" s="4"/>
      <c r="J3" s="40"/>
      <c r="K3" s="40"/>
      <c r="L3" s="40"/>
      <c r="M3" s="40"/>
      <c r="N3" s="18"/>
      <c r="O3" s="5"/>
    </row>
    <row r="4" spans="1:17" ht="19.5" hidden="1" customHeight="1" x14ac:dyDescent="0.3">
      <c r="A4" s="17"/>
      <c r="B4" s="4"/>
      <c r="C4" s="4"/>
      <c r="D4" s="50" t="s">
        <v>20</v>
      </c>
      <c r="E4" s="67"/>
      <c r="F4" s="64">
        <v>44252</v>
      </c>
      <c r="G4" s="4"/>
      <c r="H4" s="4"/>
      <c r="I4" s="4"/>
      <c r="J4" s="4"/>
      <c r="K4" s="125"/>
      <c r="L4" s="125"/>
      <c r="M4" s="125"/>
      <c r="N4" s="18"/>
      <c r="O4" s="5"/>
    </row>
    <row r="5" spans="1:17" ht="19.5" hidden="1" customHeight="1" x14ac:dyDescent="0.3">
      <c r="A5" s="17"/>
      <c r="B5" s="4"/>
      <c r="C5" s="4"/>
      <c r="D5" s="51" t="s">
        <v>0</v>
      </c>
      <c r="E5" s="68"/>
      <c r="F5" s="65">
        <f>+EDATE(F4,21)</f>
        <v>44890</v>
      </c>
      <c r="G5" s="4"/>
      <c r="H5" s="4"/>
      <c r="I5" s="4"/>
      <c r="J5" s="4"/>
      <c r="K5" s="4"/>
      <c r="L5" s="4"/>
      <c r="M5" s="4"/>
      <c r="N5" s="18"/>
      <c r="O5" s="5"/>
    </row>
    <row r="6" spans="1:17" ht="19.5" hidden="1" customHeight="1" x14ac:dyDescent="0.3">
      <c r="A6" s="17"/>
      <c r="B6" s="5"/>
      <c r="C6" s="19"/>
      <c r="D6" s="51" t="s">
        <v>1</v>
      </c>
      <c r="E6" s="5"/>
      <c r="F6" s="52" t="s">
        <v>21</v>
      </c>
      <c r="G6" s="4"/>
      <c r="H6" s="4"/>
      <c r="I6" s="20"/>
      <c r="J6" s="126"/>
      <c r="K6" s="126"/>
      <c r="L6" s="39"/>
      <c r="M6" s="39"/>
      <c r="N6" s="18"/>
      <c r="O6" s="5"/>
    </row>
    <row r="7" spans="1:17" ht="19.5" hidden="1" customHeight="1" x14ac:dyDescent="0.3">
      <c r="A7" s="17"/>
      <c r="B7" s="5"/>
      <c r="C7" s="41"/>
      <c r="D7" s="53" t="s">
        <v>2</v>
      </c>
      <c r="E7" s="36"/>
      <c r="F7" s="54">
        <v>365</v>
      </c>
      <c r="G7" s="4"/>
      <c r="H7" s="4"/>
      <c r="I7" s="20"/>
      <c r="J7" s="20"/>
      <c r="K7" s="4"/>
      <c r="L7" s="4"/>
      <c r="M7" s="4"/>
      <c r="N7" s="18"/>
      <c r="O7" s="5"/>
    </row>
    <row r="8" spans="1:17" ht="19.5" hidden="1" customHeight="1" x14ac:dyDescent="0.3">
      <c r="A8" s="17"/>
      <c r="B8" s="5"/>
      <c r="D8" s="55" t="s">
        <v>19</v>
      </c>
      <c r="E8" s="41"/>
      <c r="F8" s="71">
        <v>1000000</v>
      </c>
      <c r="G8" s="4"/>
      <c r="H8" s="4"/>
      <c r="I8" s="20"/>
      <c r="J8" s="20"/>
      <c r="K8" s="20"/>
      <c r="L8" s="20"/>
      <c r="M8" s="4"/>
      <c r="N8" s="18"/>
      <c r="O8" s="5"/>
    </row>
    <row r="9" spans="1:17" ht="19.5" hidden="1" customHeight="1" x14ac:dyDescent="0.3">
      <c r="A9" s="17"/>
      <c r="B9" s="5"/>
      <c r="D9" s="56" t="s">
        <v>13</v>
      </c>
      <c r="E9" s="41"/>
      <c r="F9" s="58">
        <v>100</v>
      </c>
      <c r="G9" s="4"/>
      <c r="H9" s="4"/>
      <c r="J9" s="35"/>
      <c r="M9" s="5"/>
      <c r="N9" s="18"/>
      <c r="O9" s="5"/>
    </row>
    <row r="10" spans="1:17" ht="19.5" hidden="1" customHeight="1" x14ac:dyDescent="0.3">
      <c r="A10" s="17"/>
      <c r="B10" s="5"/>
      <c r="D10" s="56" t="s">
        <v>12</v>
      </c>
      <c r="E10" s="5"/>
      <c r="F10" s="58">
        <f>+SUMPRODUCT(E18:E24,H18:H24)/H25/F7</f>
        <v>1.495915616438356</v>
      </c>
      <c r="J10" s="35"/>
      <c r="L10" s="7"/>
      <c r="M10" s="5"/>
      <c r="N10" s="18"/>
      <c r="O10" s="5"/>
    </row>
    <row r="11" spans="1:17" ht="19.5" hidden="1" customHeight="1" x14ac:dyDescent="0.3">
      <c r="A11" s="17"/>
      <c r="B11" s="5"/>
      <c r="D11" s="59" t="s">
        <v>22</v>
      </c>
      <c r="E11" s="5"/>
      <c r="F11" s="60">
        <f>+SUMPRODUCT(Q18:Q24,E18:E24)/Q17/F7</f>
        <v>1.4340761277969312</v>
      </c>
      <c r="M11" s="5"/>
      <c r="N11" s="18"/>
      <c r="O11" s="5"/>
    </row>
    <row r="12" spans="1:17" ht="19.5" hidden="1" customHeight="1" x14ac:dyDescent="0.3">
      <c r="A12" s="17"/>
      <c r="B12" s="5"/>
      <c r="D12" s="51" t="s">
        <v>23</v>
      </c>
      <c r="E12" s="68"/>
      <c r="F12" s="72">
        <f>+'Red Surcos'!E17</f>
        <v>6.7500000000000004E-2</v>
      </c>
      <c r="G12" s="4"/>
      <c r="M12" s="5"/>
      <c r="N12" s="18"/>
      <c r="O12" s="5"/>
      <c r="P12" s="21" t="s">
        <v>15</v>
      </c>
      <c r="Q12" s="21"/>
    </row>
    <row r="13" spans="1:17" ht="19.5" hidden="1" customHeight="1" x14ac:dyDescent="0.3">
      <c r="A13" s="17"/>
      <c r="B13" s="5"/>
      <c r="D13" s="61" t="s">
        <v>14</v>
      </c>
      <c r="E13" s="42"/>
      <c r="F13" s="57">
        <f>+XIRR(L17:L24,D17:D24)</f>
        <v>6.922944486141204E-2</v>
      </c>
      <c r="G13" s="4"/>
      <c r="M13" s="5"/>
      <c r="N13" s="18"/>
      <c r="O13" s="5"/>
      <c r="P13" s="21" t="s">
        <v>14</v>
      </c>
      <c r="Q13" s="22">
        <f>XIRR(L17:L24,D17:D24)</f>
        <v>6.922944486141204E-2</v>
      </c>
    </row>
    <row r="14" spans="1:17" ht="19.5" hidden="1" customHeight="1" thickBot="1" x14ac:dyDescent="0.35">
      <c r="A14" s="17"/>
      <c r="B14" s="5"/>
      <c r="D14" s="62" t="s">
        <v>18</v>
      </c>
      <c r="E14" s="66"/>
      <c r="F14" s="63">
        <f>((1+F13)^(90/365)-1)*(365/90)</f>
        <v>6.7493714504348809E-2</v>
      </c>
      <c r="G14" s="48"/>
      <c r="H14" s="49"/>
      <c r="J14" s="20"/>
      <c r="K14" s="20"/>
      <c r="M14" s="5"/>
      <c r="N14" s="18"/>
      <c r="O14" s="5"/>
    </row>
    <row r="15" spans="1:17" ht="19.5" hidden="1" customHeight="1" x14ac:dyDescent="0.3">
      <c r="A15" s="17"/>
      <c r="B15" s="5"/>
      <c r="C15" s="5"/>
      <c r="G15" s="4"/>
      <c r="J15" s="20"/>
      <c r="K15" s="20"/>
      <c r="L15" s="6"/>
      <c r="M15" s="5"/>
      <c r="N15" s="18"/>
      <c r="O15" s="5"/>
    </row>
    <row r="16" spans="1:17" ht="19.5" customHeight="1" thickBot="1" x14ac:dyDescent="0.35">
      <c r="A16" s="17"/>
      <c r="B16" s="5"/>
      <c r="C16" s="1" t="s">
        <v>3</v>
      </c>
      <c r="D16" s="2" t="s">
        <v>25</v>
      </c>
      <c r="E16" s="2" t="s">
        <v>4</v>
      </c>
      <c r="F16" s="2" t="s">
        <v>5</v>
      </c>
      <c r="G16" s="2" t="s">
        <v>9</v>
      </c>
      <c r="H16" s="2" t="s">
        <v>6</v>
      </c>
      <c r="I16" s="2" t="s">
        <v>17</v>
      </c>
      <c r="J16" s="2" t="s">
        <v>11</v>
      </c>
      <c r="K16" s="2" t="s">
        <v>7</v>
      </c>
      <c r="L16" s="2" t="s">
        <v>8</v>
      </c>
      <c r="M16" s="5"/>
      <c r="N16" s="23"/>
      <c r="O16" s="5"/>
      <c r="P16" s="123" t="s">
        <v>10</v>
      </c>
      <c r="Q16" s="124"/>
    </row>
    <row r="17" spans="1:21" ht="19.5" customHeight="1" thickTop="1" x14ac:dyDescent="0.3">
      <c r="A17" s="17"/>
      <c r="B17" s="5"/>
      <c r="C17" s="7"/>
      <c r="D17" s="13">
        <f>+F4</f>
        <v>44252</v>
      </c>
      <c r="E17" s="7"/>
      <c r="F17" s="7"/>
      <c r="G17" s="8"/>
      <c r="H17" s="7"/>
      <c r="I17" s="7"/>
      <c r="J17" s="7"/>
      <c r="K17" s="7"/>
      <c r="L17" s="25">
        <f>-F8</f>
        <v>-1000000</v>
      </c>
      <c r="M17" s="5"/>
      <c r="N17" s="23"/>
      <c r="O17" s="5"/>
      <c r="P17" s="26">
        <f>(SUM(P18:P24))/F8</f>
        <v>1.0000000013091628</v>
      </c>
      <c r="Q17" s="27">
        <f>SUM(Q18:Q24)</f>
        <v>1.0000000013091628</v>
      </c>
      <c r="R17" s="3">
        <v>0</v>
      </c>
    </row>
    <row r="18" spans="1:21" ht="19.5" customHeight="1" x14ac:dyDescent="0.3">
      <c r="A18" s="17"/>
      <c r="B18" s="5"/>
      <c r="C18" s="7">
        <v>1</v>
      </c>
      <c r="D18" s="13">
        <f>+EDATE(D17,3)</f>
        <v>44341</v>
      </c>
      <c r="E18" s="9">
        <f t="shared" ref="E18:E24" si="0">+D18-$F$4</f>
        <v>89</v>
      </c>
      <c r="F18" s="9">
        <f>+D18-D17</f>
        <v>89</v>
      </c>
      <c r="G18" s="10">
        <f>+F8</f>
        <v>1000000</v>
      </c>
      <c r="H18" s="8">
        <f t="shared" ref="H18:H21" si="1">+I18*$F$8</f>
        <v>0</v>
      </c>
      <c r="I18" s="34">
        <v>0</v>
      </c>
      <c r="J18" s="12">
        <f t="shared" ref="J18:J24" si="2">+$F$12</f>
        <v>6.7500000000000004E-2</v>
      </c>
      <c r="K18" s="28">
        <f t="shared" ref="K18:K24" si="3">+G18*J18/$F$7*F18</f>
        <v>16458.904109589042</v>
      </c>
      <c r="L18" s="25">
        <f>+K18+H18</f>
        <v>16458.904109589042</v>
      </c>
      <c r="M18" s="5"/>
      <c r="N18" s="23"/>
      <c r="O18" s="5"/>
      <c r="P18" s="29">
        <f t="shared" ref="P18:P24" si="4">+L18/((1+$F$13)^(E18/$F$7))</f>
        <v>16192.443552243785</v>
      </c>
      <c r="Q18" s="30">
        <f t="shared" ref="Q18:Q24" si="5">+P18/$F$8</f>
        <v>1.6192443552243786E-2</v>
      </c>
      <c r="R18" s="37">
        <f>+L18</f>
        <v>16458.904109589042</v>
      </c>
    </row>
    <row r="19" spans="1:21" ht="19.5" customHeight="1" x14ac:dyDescent="0.3">
      <c r="A19" s="17"/>
      <c r="B19" s="5"/>
      <c r="C19" s="7">
        <v>2</v>
      </c>
      <c r="D19" s="13">
        <f t="shared" ref="D19:D24" si="6">+EDATE(D18,3)</f>
        <v>44433</v>
      </c>
      <c r="E19" s="9">
        <f t="shared" si="0"/>
        <v>181</v>
      </c>
      <c r="F19" s="9">
        <f t="shared" ref="F19:F24" si="7">+D19-D18</f>
        <v>92</v>
      </c>
      <c r="G19" s="10">
        <f>+G18-H18</f>
        <v>1000000</v>
      </c>
      <c r="H19" s="8">
        <f t="shared" si="1"/>
        <v>0</v>
      </c>
      <c r="I19" s="11">
        <v>0</v>
      </c>
      <c r="J19" s="12">
        <f t="shared" si="2"/>
        <v>6.7500000000000004E-2</v>
      </c>
      <c r="K19" s="28">
        <f t="shared" si="3"/>
        <v>17013.698630136987</v>
      </c>
      <c r="L19" s="25">
        <f t="shared" ref="L19:L24" si="8">+K19+H19</f>
        <v>17013.698630136987</v>
      </c>
      <c r="M19" s="5"/>
      <c r="N19" s="23"/>
      <c r="O19" s="5"/>
      <c r="P19" s="29">
        <f t="shared" si="4"/>
        <v>16458.215713258945</v>
      </c>
      <c r="Q19" s="30">
        <f t="shared" si="5"/>
        <v>1.6458215713258947E-2</v>
      </c>
      <c r="R19" s="37">
        <f t="shared" ref="R19:R24" si="9">+L19</f>
        <v>17013.698630136987</v>
      </c>
    </row>
    <row r="20" spans="1:21" ht="19.5" customHeight="1" x14ac:dyDescent="0.3">
      <c r="A20" s="17"/>
      <c r="B20" s="5"/>
      <c r="C20" s="7">
        <v>3</v>
      </c>
      <c r="D20" s="13">
        <f t="shared" si="6"/>
        <v>44525</v>
      </c>
      <c r="E20" s="9">
        <f t="shared" si="0"/>
        <v>273</v>
      </c>
      <c r="F20" s="9">
        <f t="shared" si="7"/>
        <v>92</v>
      </c>
      <c r="G20" s="10">
        <f t="shared" ref="G20:G24" si="10">+G19-H19</f>
        <v>1000000</v>
      </c>
      <c r="H20" s="8">
        <f t="shared" si="1"/>
        <v>0</v>
      </c>
      <c r="I20" s="11">
        <v>0</v>
      </c>
      <c r="J20" s="12">
        <f t="shared" si="2"/>
        <v>6.7500000000000004E-2</v>
      </c>
      <c r="K20" s="28">
        <f t="shared" si="3"/>
        <v>17013.698630136987</v>
      </c>
      <c r="L20" s="25">
        <f t="shared" si="8"/>
        <v>17013.698630136987</v>
      </c>
      <c r="M20" s="5"/>
      <c r="N20" s="23"/>
      <c r="O20" s="5"/>
      <c r="P20" s="29">
        <f t="shared" si="4"/>
        <v>16182.860407755337</v>
      </c>
      <c r="Q20" s="30">
        <f t="shared" si="5"/>
        <v>1.6182860407755337E-2</v>
      </c>
      <c r="R20" s="37">
        <f t="shared" si="9"/>
        <v>17013.698630136987</v>
      </c>
      <c r="S20" s="130" t="s">
        <v>40</v>
      </c>
      <c r="T20" s="130"/>
      <c r="U20" s="130"/>
    </row>
    <row r="21" spans="1:21" ht="19.5" customHeight="1" x14ac:dyDescent="0.25">
      <c r="A21" s="17"/>
      <c r="B21" s="5"/>
      <c r="C21" s="7">
        <v>4</v>
      </c>
      <c r="D21" s="13">
        <f t="shared" si="6"/>
        <v>44617</v>
      </c>
      <c r="E21" s="9">
        <f t="shared" si="0"/>
        <v>365</v>
      </c>
      <c r="F21" s="9">
        <f t="shared" si="7"/>
        <v>92</v>
      </c>
      <c r="G21" s="10">
        <f t="shared" si="10"/>
        <v>1000000</v>
      </c>
      <c r="H21" s="8">
        <f t="shared" si="1"/>
        <v>0</v>
      </c>
      <c r="I21" s="11">
        <v>0</v>
      </c>
      <c r="J21" s="12">
        <f t="shared" si="2"/>
        <v>6.7500000000000004E-2</v>
      </c>
      <c r="K21" s="28">
        <f t="shared" si="3"/>
        <v>17013.698630136987</v>
      </c>
      <c r="L21" s="25">
        <f t="shared" si="8"/>
        <v>17013.698630136987</v>
      </c>
      <c r="M21" s="5"/>
      <c r="N21" s="23"/>
      <c r="O21" s="5"/>
      <c r="P21" s="29">
        <f t="shared" si="4"/>
        <v>15912.111953054391</v>
      </c>
      <c r="Q21" s="30">
        <f t="shared" si="5"/>
        <v>1.5912111953054392E-2</v>
      </c>
      <c r="R21" s="37">
        <f t="shared" si="9"/>
        <v>17013.698630136987</v>
      </c>
      <c r="S21" s="131" t="s">
        <v>41</v>
      </c>
      <c r="T21" s="131"/>
      <c r="U21" s="131"/>
    </row>
    <row r="22" spans="1:21" ht="19.5" customHeight="1" x14ac:dyDescent="0.25">
      <c r="A22" s="17"/>
      <c r="B22" s="5"/>
      <c r="C22" s="7">
        <v>5</v>
      </c>
      <c r="D22" s="13">
        <f t="shared" si="6"/>
        <v>44706</v>
      </c>
      <c r="E22" s="9">
        <f t="shared" si="0"/>
        <v>454</v>
      </c>
      <c r="F22" s="9">
        <f t="shared" si="7"/>
        <v>89</v>
      </c>
      <c r="G22" s="10">
        <f t="shared" si="10"/>
        <v>1000000</v>
      </c>
      <c r="H22" s="8">
        <f>+$F$8*33.33%</f>
        <v>333300</v>
      </c>
      <c r="I22" s="11">
        <v>0</v>
      </c>
      <c r="J22" s="12">
        <f t="shared" si="2"/>
        <v>6.7500000000000004E-2</v>
      </c>
      <c r="K22" s="28">
        <f t="shared" si="3"/>
        <v>16458.904109589042</v>
      </c>
      <c r="L22" s="25">
        <f t="shared" si="8"/>
        <v>349758.90410958906</v>
      </c>
      <c r="M22" s="5"/>
      <c r="N22" s="23"/>
      <c r="O22" s="5"/>
      <c r="P22" s="29">
        <f t="shared" si="4"/>
        <v>321817.26989350468</v>
      </c>
      <c r="Q22" s="30">
        <f t="shared" si="5"/>
        <v>0.32181726989350468</v>
      </c>
      <c r="R22" s="37">
        <f t="shared" si="9"/>
        <v>349758.90410958906</v>
      </c>
      <c r="S22" s="73"/>
    </row>
    <row r="23" spans="1:21" ht="19.5" customHeight="1" x14ac:dyDescent="0.3">
      <c r="A23" s="17"/>
      <c r="B23" s="5"/>
      <c r="C23" s="7">
        <v>6</v>
      </c>
      <c r="D23" s="13">
        <f t="shared" si="6"/>
        <v>44798</v>
      </c>
      <c r="E23" s="9">
        <f t="shared" si="0"/>
        <v>546</v>
      </c>
      <c r="F23" s="9">
        <f t="shared" si="7"/>
        <v>92</v>
      </c>
      <c r="G23" s="10">
        <f t="shared" si="10"/>
        <v>666700</v>
      </c>
      <c r="H23" s="8">
        <f>+$F$8*33.33%</f>
        <v>333300</v>
      </c>
      <c r="I23" s="11">
        <v>0</v>
      </c>
      <c r="J23" s="12">
        <f t="shared" si="2"/>
        <v>6.7500000000000004E-2</v>
      </c>
      <c r="K23" s="28">
        <f t="shared" si="3"/>
        <v>11343.032876712328</v>
      </c>
      <c r="L23" s="25">
        <f t="shared" si="8"/>
        <v>344643.03287671233</v>
      </c>
      <c r="M23" s="5"/>
      <c r="N23" s="23"/>
      <c r="O23" s="5"/>
      <c r="P23" s="29">
        <f t="shared" si="4"/>
        <v>311804.6645710867</v>
      </c>
      <c r="Q23" s="30">
        <f t="shared" si="5"/>
        <v>0.31180466457108669</v>
      </c>
      <c r="R23" s="37">
        <f t="shared" si="9"/>
        <v>344643.03287671233</v>
      </c>
    </row>
    <row r="24" spans="1:21" ht="19.5" customHeight="1" x14ac:dyDescent="0.25">
      <c r="A24" s="17"/>
      <c r="B24" s="5"/>
      <c r="C24" s="7">
        <v>7</v>
      </c>
      <c r="D24" s="13">
        <f t="shared" si="6"/>
        <v>44890</v>
      </c>
      <c r="E24" s="9">
        <f t="shared" si="0"/>
        <v>638</v>
      </c>
      <c r="F24" s="9">
        <f t="shared" si="7"/>
        <v>92</v>
      </c>
      <c r="G24" s="10">
        <f t="shared" si="10"/>
        <v>333400</v>
      </c>
      <c r="H24" s="8">
        <f>+$F$8*33.34%</f>
        <v>333400.00000000006</v>
      </c>
      <c r="I24" s="11">
        <v>0</v>
      </c>
      <c r="J24" s="12">
        <f t="shared" si="2"/>
        <v>6.7500000000000004E-2</v>
      </c>
      <c r="K24" s="28">
        <f t="shared" si="3"/>
        <v>5672.3671232876713</v>
      </c>
      <c r="L24" s="25">
        <f t="shared" si="8"/>
        <v>339072.36712328775</v>
      </c>
      <c r="M24" s="5"/>
      <c r="N24" s="23"/>
      <c r="O24" s="5"/>
      <c r="P24" s="29">
        <f t="shared" si="4"/>
        <v>301632.43521825882</v>
      </c>
      <c r="Q24" s="30">
        <f t="shared" si="5"/>
        <v>0.30163243521825883</v>
      </c>
      <c r="R24" s="37">
        <f t="shared" si="9"/>
        <v>339072.36712328775</v>
      </c>
      <c r="S24" s="131" t="s">
        <v>42</v>
      </c>
      <c r="T24" s="131"/>
      <c r="U24" s="131"/>
    </row>
    <row r="25" spans="1:21" ht="19.5" customHeight="1" x14ac:dyDescent="0.25">
      <c r="A25" s="17"/>
      <c r="B25" s="5"/>
      <c r="C25" s="7"/>
      <c r="D25" s="43"/>
      <c r="E25" s="14"/>
      <c r="F25" s="14">
        <f>+SUM(F17:F24)</f>
        <v>638</v>
      </c>
      <c r="G25" s="44"/>
      <c r="H25" s="45">
        <f>+SUM(H18:H24)</f>
        <v>1000000</v>
      </c>
      <c r="I25" s="46">
        <f>+SUM(I18:I24)</f>
        <v>0</v>
      </c>
      <c r="J25" s="15"/>
      <c r="K25" s="45">
        <f>+SUM(K18:K24)</f>
        <v>100974.30410958905</v>
      </c>
      <c r="L25" s="47"/>
      <c r="M25" s="5"/>
      <c r="N25" s="23"/>
      <c r="O25" s="5"/>
      <c r="P25" s="31"/>
      <c r="Q25" s="32">
        <f>SUM(Q18:Q24)</f>
        <v>1.0000000013091628</v>
      </c>
      <c r="S25" s="131"/>
      <c r="T25" s="131"/>
      <c r="U25" s="131"/>
    </row>
    <row r="26" spans="1:21" ht="8.25" customHeight="1" thickBot="1" x14ac:dyDescent="0.35">
      <c r="A26" s="1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3"/>
      <c r="O26" s="5"/>
      <c r="P26" s="31"/>
      <c r="Q26" s="31"/>
    </row>
    <row r="27" spans="1:21" s="5" customFormat="1" ht="19.5" customHeight="1" x14ac:dyDescent="0.3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4"/>
    </row>
    <row r="28" spans="1:21" ht="19.5" customHeight="1" x14ac:dyDescent="0.3">
      <c r="A28" s="70"/>
      <c r="B28" s="117" t="s">
        <v>24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  <c r="N28" s="5"/>
    </row>
    <row r="29" spans="1:21" ht="19.5" customHeight="1" x14ac:dyDescent="0.3">
      <c r="A29" s="69"/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</row>
    <row r="31" spans="1:21" ht="19.5" customHeight="1" x14ac:dyDescent="0.3">
      <c r="E31" s="33"/>
    </row>
    <row r="32" spans="1:21" ht="19.5" customHeight="1" x14ac:dyDescent="0.3">
      <c r="E32" s="33"/>
    </row>
    <row r="33" spans="5:5" ht="19.5" customHeight="1" x14ac:dyDescent="0.3">
      <c r="E33" s="33"/>
    </row>
    <row r="34" spans="5:5" ht="19.5" customHeight="1" x14ac:dyDescent="0.3">
      <c r="E34" s="33"/>
    </row>
    <row r="35" spans="5:5" ht="19.5" customHeight="1" x14ac:dyDescent="0.3">
      <c r="E35" s="33"/>
    </row>
    <row r="36" spans="5:5" ht="19.5" customHeight="1" x14ac:dyDescent="0.3">
      <c r="E36" s="33"/>
    </row>
  </sheetData>
  <sheetProtection algorithmName="SHA-512" hashValue="S6gQ1px9cUnJwKT9KQmcHTGOYJrG903o4PAQztAO2077yWDktYOBbVgw025G6CONZjUusIN3Z38i3s3oWzdU+Q==" saltValue="p7P/qF5hs9n4yuJM9QRsJA==" spinCount="100000" sheet="1" objects="1" scenarios="1" selectLockedCells="1" selectUnlockedCells="1"/>
  <protectedRanges>
    <protectedRange sqref="H8" name="Rango1"/>
  </protectedRanges>
  <mergeCells count="11">
    <mergeCell ref="S20:U20"/>
    <mergeCell ref="S21:U21"/>
    <mergeCell ref="S25:U25"/>
    <mergeCell ref="S24:U24"/>
    <mergeCell ref="B1:M1"/>
    <mergeCell ref="B28:M29"/>
    <mergeCell ref="P16:Q16"/>
    <mergeCell ref="J2:K2"/>
    <mergeCell ref="K4:M4"/>
    <mergeCell ref="J6:K6"/>
    <mergeCell ref="D3:F3"/>
  </mergeCells>
  <pageMargins left="0.24" right="0.33" top="0.75" bottom="0.75" header="0.3" footer="0.3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I18" sqref="I18"/>
    </sheetView>
  </sheetViews>
  <sheetFormatPr baseColWidth="10" defaultRowHeight="14.4" x14ac:dyDescent="0.3"/>
  <cols>
    <col min="2" max="3" width="11.44140625" style="93"/>
    <col min="5" max="5" width="12" style="98" customWidth="1"/>
    <col min="7" max="7" width="16.6640625" bestFit="1" customWidth="1"/>
  </cols>
  <sheetData>
    <row r="1" spans="1:12" x14ac:dyDescent="0.3">
      <c r="E1" s="94" t="s">
        <v>34</v>
      </c>
      <c r="H1" s="95"/>
    </row>
    <row r="2" spans="1:12" x14ac:dyDescent="0.3">
      <c r="B2" s="96" t="s">
        <v>35</v>
      </c>
      <c r="C2" s="97" t="s">
        <v>36</v>
      </c>
      <c r="E2" s="98">
        <v>42363</v>
      </c>
      <c r="G2" s="99" t="s">
        <v>27</v>
      </c>
      <c r="H2" s="99">
        <f>+((H3*L3)+(H4*L4))/(L3+L4)</f>
        <v>0.34144994444444443</v>
      </c>
      <c r="I2" s="95">
        <v>44180</v>
      </c>
      <c r="J2" s="100">
        <f>+WORKDAY(I2,-7,$E$2:$E$83)</f>
        <v>44167</v>
      </c>
      <c r="K2" s="101" t="str">
        <f>+CONCATENATE("&gt;=",J2)</f>
        <v>&gt;=44167</v>
      </c>
      <c r="L2" s="102"/>
    </row>
    <row r="3" spans="1:12" x14ac:dyDescent="0.3">
      <c r="A3" s="103"/>
      <c r="B3" s="103">
        <v>44137</v>
      </c>
      <c r="C3" s="104">
        <v>31.75</v>
      </c>
      <c r="E3" s="98">
        <v>42369</v>
      </c>
      <c r="G3" t="s">
        <v>26</v>
      </c>
      <c r="H3" s="105">
        <f>+ROUND(AVERAGEIFS($C$3:$C$1562,$B$3:$B$1562,K2,$B$3:$B$1562,K4)/100,6)</f>
        <v>0.341555</v>
      </c>
      <c r="I3" s="95">
        <f>+'[1]Clase 8 $ Badlar (Reap.)'!E5</f>
        <v>44239</v>
      </c>
      <c r="L3" s="102">
        <f>+I3-I2</f>
        <v>59</v>
      </c>
    </row>
    <row r="4" spans="1:12" x14ac:dyDescent="0.3">
      <c r="A4" s="103"/>
      <c r="B4" s="103">
        <f t="shared" ref="B4:B67" si="0">+WORKDAY(B3,1,$E$2:$E$83)</f>
        <v>44138</v>
      </c>
      <c r="C4" s="104">
        <v>31.75</v>
      </c>
      <c r="E4" s="98">
        <v>42370</v>
      </c>
      <c r="G4" t="s">
        <v>37</v>
      </c>
      <c r="H4" s="105">
        <f>+AVERAGE(C60:C64)/100</f>
        <v>0.34125</v>
      </c>
      <c r="I4" s="95">
        <v>44270</v>
      </c>
      <c r="J4" s="100">
        <f>+WORKDAY(I4,-8,$E$2:$E$83)</f>
        <v>44258</v>
      </c>
      <c r="K4" s="101" t="str">
        <f>+CONCATENATE("&lt;=",J4)</f>
        <v>&lt;=44258</v>
      </c>
      <c r="L4" s="102">
        <f>+I4-I3</f>
        <v>31</v>
      </c>
    </row>
    <row r="5" spans="1:12" x14ac:dyDescent="0.3">
      <c r="A5" s="103"/>
      <c r="B5" s="103">
        <f t="shared" si="0"/>
        <v>44139</v>
      </c>
      <c r="C5" s="104">
        <v>31.4375</v>
      </c>
      <c r="E5" s="98">
        <v>42408</v>
      </c>
      <c r="H5" s="95"/>
      <c r="K5" s="102"/>
    </row>
    <row r="6" spans="1:12" x14ac:dyDescent="0.3">
      <c r="A6" s="103"/>
      <c r="B6" s="103">
        <f t="shared" si="0"/>
        <v>44140</v>
      </c>
      <c r="C6" s="104">
        <v>31.8125</v>
      </c>
      <c r="E6" s="98">
        <v>42409</v>
      </c>
      <c r="H6" s="95"/>
      <c r="K6" s="102"/>
    </row>
    <row r="7" spans="1:12" x14ac:dyDescent="0.3">
      <c r="A7" s="103"/>
      <c r="B7" s="103">
        <f t="shared" si="0"/>
        <v>44144</v>
      </c>
      <c r="C7" s="104">
        <v>31.75</v>
      </c>
      <c r="E7" s="98">
        <v>42453</v>
      </c>
      <c r="H7" s="95"/>
      <c r="K7" s="102"/>
    </row>
    <row r="8" spans="1:12" x14ac:dyDescent="0.3">
      <c r="A8" s="103"/>
      <c r="B8" s="103">
        <f t="shared" si="0"/>
        <v>44145</v>
      </c>
      <c r="C8" s="104">
        <v>31.8125</v>
      </c>
      <c r="E8" s="98">
        <v>42454</v>
      </c>
      <c r="H8" s="95"/>
      <c r="K8" s="102"/>
    </row>
    <row r="9" spans="1:12" x14ac:dyDescent="0.3">
      <c r="A9" s="103"/>
      <c r="B9" s="103">
        <f t="shared" si="0"/>
        <v>44146</v>
      </c>
      <c r="C9" s="104">
        <v>31.5625</v>
      </c>
      <c r="E9" s="98">
        <v>42456</v>
      </c>
      <c r="K9" s="102"/>
    </row>
    <row r="10" spans="1:12" x14ac:dyDescent="0.3">
      <c r="A10" s="103"/>
      <c r="B10" s="103">
        <f t="shared" si="0"/>
        <v>44147</v>
      </c>
      <c r="C10" s="104">
        <v>31.6875</v>
      </c>
      <c r="E10" s="98">
        <v>42462</v>
      </c>
    </row>
    <row r="11" spans="1:12" x14ac:dyDescent="0.3">
      <c r="A11" s="103"/>
      <c r="B11" s="103">
        <f t="shared" si="0"/>
        <v>44148</v>
      </c>
      <c r="C11" s="104">
        <v>33.625</v>
      </c>
      <c r="E11" s="98">
        <v>42491</v>
      </c>
    </row>
    <row r="12" spans="1:12" x14ac:dyDescent="0.3">
      <c r="A12" s="103"/>
      <c r="B12" s="103">
        <f t="shared" si="0"/>
        <v>44151</v>
      </c>
      <c r="C12" s="104">
        <v>33.875</v>
      </c>
      <c r="E12" s="98">
        <v>42515</v>
      </c>
    </row>
    <row r="13" spans="1:12" x14ac:dyDescent="0.3">
      <c r="A13" s="103"/>
      <c r="B13" s="103">
        <f t="shared" si="0"/>
        <v>44152</v>
      </c>
      <c r="C13" s="104">
        <v>33.9375</v>
      </c>
      <c r="E13" s="98">
        <v>42541</v>
      </c>
    </row>
    <row r="14" spans="1:12" x14ac:dyDescent="0.3">
      <c r="A14" s="103"/>
      <c r="B14" s="103">
        <f t="shared" si="0"/>
        <v>44153</v>
      </c>
      <c r="C14" s="104">
        <v>33.875</v>
      </c>
      <c r="E14" s="98">
        <v>42559</v>
      </c>
    </row>
    <row r="15" spans="1:12" x14ac:dyDescent="0.3">
      <c r="A15" s="103"/>
      <c r="B15" s="103">
        <f t="shared" si="0"/>
        <v>44154</v>
      </c>
      <c r="C15" s="104">
        <v>33.875</v>
      </c>
      <c r="E15" s="98">
        <v>42560</v>
      </c>
    </row>
    <row r="16" spans="1:12" x14ac:dyDescent="0.3">
      <c r="A16" s="103"/>
      <c r="B16" s="103">
        <f t="shared" si="0"/>
        <v>44155</v>
      </c>
      <c r="C16" s="104">
        <v>34.0625</v>
      </c>
      <c r="E16" s="98">
        <v>42597</v>
      </c>
    </row>
    <row r="17" spans="1:5" x14ac:dyDescent="0.3">
      <c r="A17" s="103"/>
      <c r="B17" s="103">
        <f t="shared" si="0"/>
        <v>44159</v>
      </c>
      <c r="C17" s="104">
        <v>33.875</v>
      </c>
      <c r="E17" s="98">
        <v>42653</v>
      </c>
    </row>
    <row r="18" spans="1:5" x14ac:dyDescent="0.3">
      <c r="A18" s="103"/>
      <c r="B18" s="103">
        <f t="shared" si="0"/>
        <v>44160</v>
      </c>
      <c r="C18" s="104">
        <v>33.625</v>
      </c>
      <c r="E18" s="98">
        <v>42702</v>
      </c>
    </row>
    <row r="19" spans="1:5" x14ac:dyDescent="0.3">
      <c r="A19" s="103"/>
      <c r="B19" s="103">
        <f t="shared" si="0"/>
        <v>44161</v>
      </c>
      <c r="C19" s="104">
        <v>34.0625</v>
      </c>
      <c r="E19" s="98">
        <v>42712</v>
      </c>
    </row>
    <row r="20" spans="1:5" x14ac:dyDescent="0.3">
      <c r="A20" s="103"/>
      <c r="B20" s="103">
        <f t="shared" si="0"/>
        <v>44162</v>
      </c>
      <c r="C20" s="104">
        <v>33.75</v>
      </c>
      <c r="E20" s="98">
        <v>42713</v>
      </c>
    </row>
    <row r="21" spans="1:5" x14ac:dyDescent="0.3">
      <c r="A21" s="103"/>
      <c r="B21" s="103">
        <f t="shared" si="0"/>
        <v>44165</v>
      </c>
      <c r="C21" s="104">
        <v>33.75</v>
      </c>
      <c r="E21" s="106">
        <v>42702</v>
      </c>
    </row>
    <row r="22" spans="1:5" x14ac:dyDescent="0.3">
      <c r="A22" s="103"/>
      <c r="B22" s="103">
        <f t="shared" si="0"/>
        <v>44166</v>
      </c>
      <c r="C22" s="104">
        <v>34.375</v>
      </c>
      <c r="E22" s="106">
        <v>42712</v>
      </c>
    </row>
    <row r="23" spans="1:5" x14ac:dyDescent="0.3">
      <c r="A23" s="103"/>
      <c r="B23" s="103">
        <f t="shared" si="0"/>
        <v>44167</v>
      </c>
      <c r="C23" s="104">
        <v>34.3125</v>
      </c>
      <c r="E23" s="106">
        <v>42713</v>
      </c>
    </row>
    <row r="24" spans="1:5" x14ac:dyDescent="0.3">
      <c r="A24" s="103"/>
      <c r="B24" s="103">
        <f t="shared" si="0"/>
        <v>44168</v>
      </c>
      <c r="C24" s="104">
        <v>34.1875</v>
      </c>
      <c r="E24" s="106">
        <v>42793</v>
      </c>
    </row>
    <row r="25" spans="1:5" x14ac:dyDescent="0.3">
      <c r="A25" s="103"/>
      <c r="B25" s="103">
        <f t="shared" si="0"/>
        <v>44169</v>
      </c>
      <c r="C25" s="104">
        <v>34.0625</v>
      </c>
      <c r="E25" s="106">
        <v>42794</v>
      </c>
    </row>
    <row r="26" spans="1:5" x14ac:dyDescent="0.3">
      <c r="A26" s="103"/>
      <c r="B26" s="103">
        <f t="shared" si="0"/>
        <v>44174</v>
      </c>
      <c r="C26" s="104">
        <v>34.25</v>
      </c>
      <c r="E26" s="106">
        <v>42818</v>
      </c>
    </row>
    <row r="27" spans="1:5" x14ac:dyDescent="0.3">
      <c r="A27" s="103"/>
      <c r="B27" s="103">
        <f t="shared" si="0"/>
        <v>44175</v>
      </c>
      <c r="C27" s="104">
        <v>34.375</v>
      </c>
      <c r="E27" s="106">
        <v>42827</v>
      </c>
    </row>
    <row r="28" spans="1:5" x14ac:dyDescent="0.3">
      <c r="A28" s="103"/>
      <c r="B28" s="103">
        <f t="shared" si="0"/>
        <v>44176</v>
      </c>
      <c r="C28" s="104">
        <v>34.125</v>
      </c>
      <c r="E28" s="106">
        <v>42473</v>
      </c>
    </row>
    <row r="29" spans="1:5" x14ac:dyDescent="0.3">
      <c r="A29" s="103"/>
      <c r="B29" s="103">
        <f t="shared" si="0"/>
        <v>44179</v>
      </c>
      <c r="C29" s="104">
        <v>34.0625</v>
      </c>
      <c r="E29" s="106">
        <v>42839</v>
      </c>
    </row>
    <row r="30" spans="1:5" x14ac:dyDescent="0.3">
      <c r="A30" s="103"/>
      <c r="B30" s="103">
        <f t="shared" si="0"/>
        <v>44180</v>
      </c>
      <c r="C30" s="104">
        <v>34.5</v>
      </c>
      <c r="E30" s="106">
        <v>42856</v>
      </c>
    </row>
    <row r="31" spans="1:5" x14ac:dyDescent="0.3">
      <c r="A31" s="103"/>
      <c r="B31" s="103">
        <f t="shared" si="0"/>
        <v>44181</v>
      </c>
      <c r="C31" s="104">
        <v>34.1875</v>
      </c>
      <c r="E31" s="106">
        <v>42880</v>
      </c>
    </row>
    <row r="32" spans="1:5" x14ac:dyDescent="0.3">
      <c r="A32" s="103"/>
      <c r="B32" s="103">
        <f t="shared" si="0"/>
        <v>44182</v>
      </c>
      <c r="C32" s="104">
        <v>34.1875</v>
      </c>
      <c r="E32" s="106">
        <v>42903</v>
      </c>
    </row>
    <row r="33" spans="1:5" x14ac:dyDescent="0.3">
      <c r="A33" s="103"/>
      <c r="B33" s="103">
        <f t="shared" si="0"/>
        <v>44183</v>
      </c>
      <c r="C33" s="104">
        <v>34.3125</v>
      </c>
      <c r="E33" s="106">
        <v>42906</v>
      </c>
    </row>
    <row r="34" spans="1:5" x14ac:dyDescent="0.3">
      <c r="A34" s="103"/>
      <c r="B34" s="103">
        <f t="shared" si="0"/>
        <v>44186</v>
      </c>
      <c r="C34" s="104">
        <v>34.25</v>
      </c>
      <c r="E34" s="106">
        <v>42925</v>
      </c>
    </row>
    <row r="35" spans="1:5" x14ac:dyDescent="0.3">
      <c r="A35" s="103"/>
      <c r="B35" s="103">
        <f t="shared" si="0"/>
        <v>44187</v>
      </c>
      <c r="C35" s="104">
        <v>34.0625</v>
      </c>
      <c r="E35" s="106">
        <v>42968</v>
      </c>
    </row>
    <row r="36" spans="1:5" x14ac:dyDescent="0.3">
      <c r="A36" s="103"/>
      <c r="B36" s="103">
        <f t="shared" si="0"/>
        <v>44188</v>
      </c>
      <c r="C36" s="104">
        <v>34.0625</v>
      </c>
      <c r="E36" s="106">
        <v>43024</v>
      </c>
    </row>
    <row r="37" spans="1:5" x14ac:dyDescent="0.3">
      <c r="A37" s="103"/>
      <c r="B37" s="103">
        <f t="shared" si="0"/>
        <v>44193</v>
      </c>
      <c r="C37" s="104">
        <v>34.125</v>
      </c>
      <c r="E37" s="106">
        <v>43059</v>
      </c>
    </row>
    <row r="38" spans="1:5" x14ac:dyDescent="0.3">
      <c r="A38" s="103"/>
      <c r="B38" s="103">
        <f t="shared" si="0"/>
        <v>44194</v>
      </c>
      <c r="C38" s="104">
        <v>34.1875</v>
      </c>
      <c r="E38" s="106">
        <v>43077</v>
      </c>
    </row>
    <row r="39" spans="1:5" x14ac:dyDescent="0.3">
      <c r="A39" s="103"/>
      <c r="B39" s="103">
        <f t="shared" si="0"/>
        <v>44195</v>
      </c>
      <c r="C39" s="104">
        <v>34.25</v>
      </c>
      <c r="E39" s="106">
        <v>43094</v>
      </c>
    </row>
    <row r="40" spans="1:5" x14ac:dyDescent="0.3">
      <c r="A40" s="103"/>
      <c r="B40" s="103">
        <f t="shared" si="0"/>
        <v>44200</v>
      </c>
      <c r="C40" s="104">
        <v>34.0625</v>
      </c>
      <c r="E40" s="106">
        <v>43143</v>
      </c>
    </row>
    <row r="41" spans="1:5" x14ac:dyDescent="0.3">
      <c r="A41" s="103"/>
      <c r="B41" s="103">
        <f t="shared" si="0"/>
        <v>44201</v>
      </c>
      <c r="C41" s="104">
        <v>34.3125</v>
      </c>
      <c r="E41" s="106">
        <v>43144</v>
      </c>
    </row>
    <row r="42" spans="1:5" x14ac:dyDescent="0.3">
      <c r="A42" s="103"/>
      <c r="B42" s="103">
        <f t="shared" si="0"/>
        <v>44202</v>
      </c>
      <c r="C42" s="104">
        <v>33.9375</v>
      </c>
      <c r="E42" s="106">
        <v>43188</v>
      </c>
    </row>
    <row r="43" spans="1:5" x14ac:dyDescent="0.3">
      <c r="A43" s="103"/>
      <c r="B43" s="103">
        <f t="shared" si="0"/>
        <v>44203</v>
      </c>
      <c r="C43" s="104">
        <v>33.8125</v>
      </c>
      <c r="E43" s="106">
        <v>43189</v>
      </c>
    </row>
    <row r="44" spans="1:5" x14ac:dyDescent="0.3">
      <c r="A44" s="103"/>
      <c r="B44" s="103">
        <f t="shared" si="0"/>
        <v>44204</v>
      </c>
      <c r="C44" s="104">
        <v>34.125</v>
      </c>
      <c r="E44" s="106">
        <v>43192</v>
      </c>
    </row>
    <row r="45" spans="1:5" x14ac:dyDescent="0.3">
      <c r="A45" s="103"/>
      <c r="B45" s="103">
        <f t="shared" si="0"/>
        <v>44207</v>
      </c>
      <c r="C45" s="104">
        <v>34.3125</v>
      </c>
      <c r="E45" s="106">
        <v>43220</v>
      </c>
    </row>
    <row r="46" spans="1:5" x14ac:dyDescent="0.3">
      <c r="A46" s="103"/>
      <c r="B46" s="103">
        <f t="shared" si="0"/>
        <v>44208</v>
      </c>
      <c r="C46" s="104">
        <v>34.125</v>
      </c>
      <c r="E46" s="106">
        <v>43221</v>
      </c>
    </row>
    <row r="47" spans="1:5" x14ac:dyDescent="0.3">
      <c r="A47" s="103"/>
      <c r="B47" s="103">
        <f t="shared" si="0"/>
        <v>44209</v>
      </c>
      <c r="C47" s="104">
        <v>34</v>
      </c>
      <c r="E47" s="106">
        <v>43245</v>
      </c>
    </row>
    <row r="48" spans="1:5" x14ac:dyDescent="0.3">
      <c r="A48" s="103"/>
      <c r="B48" s="103">
        <f t="shared" si="0"/>
        <v>44210</v>
      </c>
      <c r="C48" s="104">
        <v>34.375</v>
      </c>
      <c r="E48" s="106">
        <v>43271</v>
      </c>
    </row>
    <row r="49" spans="1:7" x14ac:dyDescent="0.3">
      <c r="A49" s="103"/>
      <c r="B49" s="103">
        <f t="shared" si="0"/>
        <v>44211</v>
      </c>
      <c r="C49" s="104">
        <v>34.5625</v>
      </c>
      <c r="E49" s="106">
        <v>43290</v>
      </c>
    </row>
    <row r="50" spans="1:7" x14ac:dyDescent="0.3">
      <c r="A50" s="103"/>
      <c r="B50" s="103">
        <f t="shared" si="0"/>
        <v>44214</v>
      </c>
      <c r="C50" s="104">
        <v>34.1875</v>
      </c>
      <c r="E50" s="106">
        <v>43332</v>
      </c>
    </row>
    <row r="51" spans="1:7" x14ac:dyDescent="0.3">
      <c r="A51" s="103"/>
      <c r="B51" s="103">
        <f t="shared" si="0"/>
        <v>44215</v>
      </c>
      <c r="C51" s="104">
        <v>34.1875</v>
      </c>
      <c r="E51" s="106">
        <v>43388</v>
      </c>
    </row>
    <row r="52" spans="1:7" x14ac:dyDescent="0.3">
      <c r="A52" s="103"/>
      <c r="B52" s="103">
        <f t="shared" si="0"/>
        <v>44216</v>
      </c>
      <c r="C52" s="104">
        <v>34.3125</v>
      </c>
      <c r="E52" s="106">
        <v>43410</v>
      </c>
    </row>
    <row r="53" spans="1:7" x14ac:dyDescent="0.3">
      <c r="A53" s="103"/>
      <c r="B53" s="103">
        <f t="shared" si="0"/>
        <v>44217</v>
      </c>
      <c r="C53" s="104">
        <v>34</v>
      </c>
      <c r="E53" s="106">
        <v>43423</v>
      </c>
    </row>
    <row r="54" spans="1:7" x14ac:dyDescent="0.3">
      <c r="A54" s="103"/>
      <c r="B54" s="103">
        <f t="shared" si="0"/>
        <v>44218</v>
      </c>
      <c r="C54" s="104">
        <v>34</v>
      </c>
      <c r="E54" s="106">
        <v>43458</v>
      </c>
    </row>
    <row r="55" spans="1:7" x14ac:dyDescent="0.3">
      <c r="A55" s="103"/>
      <c r="B55" s="103">
        <f t="shared" si="0"/>
        <v>44221</v>
      </c>
      <c r="C55" s="104">
        <v>33.8125</v>
      </c>
      <c r="E55" s="106">
        <v>43459</v>
      </c>
    </row>
    <row r="56" spans="1:7" x14ac:dyDescent="0.3">
      <c r="A56" s="103"/>
      <c r="B56" s="103">
        <f t="shared" si="0"/>
        <v>44222</v>
      </c>
      <c r="C56" s="104">
        <v>33.875</v>
      </c>
      <c r="E56" s="106">
        <v>43465</v>
      </c>
    </row>
    <row r="57" spans="1:7" x14ac:dyDescent="0.3">
      <c r="A57" s="103"/>
      <c r="B57" s="103">
        <f t="shared" si="0"/>
        <v>44223</v>
      </c>
      <c r="C57" s="104">
        <v>34.0625</v>
      </c>
      <c r="E57" s="106">
        <v>43466</v>
      </c>
    </row>
    <row r="58" spans="1:7" x14ac:dyDescent="0.3">
      <c r="A58" s="103"/>
      <c r="B58" s="103">
        <f t="shared" si="0"/>
        <v>44224</v>
      </c>
      <c r="C58" s="104">
        <v>34.1875</v>
      </c>
      <c r="E58" s="106">
        <v>43528</v>
      </c>
    </row>
    <row r="59" spans="1:7" x14ac:dyDescent="0.3">
      <c r="A59" s="103"/>
      <c r="B59" s="103">
        <f t="shared" si="0"/>
        <v>44225</v>
      </c>
      <c r="C59" s="104">
        <v>34.1875</v>
      </c>
      <c r="E59" s="106">
        <v>43529</v>
      </c>
      <c r="G59" s="103"/>
    </row>
    <row r="60" spans="1:7" x14ac:dyDescent="0.3">
      <c r="A60" s="103"/>
      <c r="B60" s="103">
        <f t="shared" si="0"/>
        <v>44228</v>
      </c>
      <c r="C60" s="104">
        <v>34.1875</v>
      </c>
      <c r="E60" s="106">
        <v>43548</v>
      </c>
      <c r="G60" s="103"/>
    </row>
    <row r="61" spans="1:7" x14ac:dyDescent="0.3">
      <c r="A61" s="103"/>
      <c r="B61" s="103">
        <f t="shared" si="0"/>
        <v>44229</v>
      </c>
      <c r="C61" s="104">
        <v>34.1875</v>
      </c>
      <c r="E61" s="106">
        <v>43557</v>
      </c>
      <c r="G61" s="103"/>
    </row>
    <row r="62" spans="1:7" x14ac:dyDescent="0.3">
      <c r="A62" s="103"/>
      <c r="B62" s="103">
        <f t="shared" si="0"/>
        <v>44230</v>
      </c>
      <c r="C62" s="104">
        <v>34</v>
      </c>
      <c r="E62" s="106">
        <v>43574</v>
      </c>
    </row>
    <row r="63" spans="1:7" x14ac:dyDescent="0.3">
      <c r="A63" s="103"/>
      <c r="B63" s="103">
        <f t="shared" si="0"/>
        <v>44231</v>
      </c>
      <c r="C63" s="107">
        <v>34.1875</v>
      </c>
      <c r="E63" s="106">
        <v>43586</v>
      </c>
    </row>
    <row r="64" spans="1:7" x14ac:dyDescent="0.3">
      <c r="A64" s="103"/>
      <c r="B64" s="103">
        <f t="shared" si="0"/>
        <v>44232</v>
      </c>
      <c r="C64" s="107">
        <v>34.0625</v>
      </c>
      <c r="E64" s="106">
        <v>43610</v>
      </c>
    </row>
    <row r="65" spans="1:5" x14ac:dyDescent="0.3">
      <c r="A65" s="103"/>
      <c r="B65" s="103">
        <f t="shared" si="0"/>
        <v>44235</v>
      </c>
      <c r="C65" s="107">
        <v>34.125</v>
      </c>
      <c r="E65" s="106">
        <v>43636</v>
      </c>
    </row>
    <row r="66" spans="1:5" x14ac:dyDescent="0.3">
      <c r="A66" s="103"/>
      <c r="B66" s="103">
        <f t="shared" si="0"/>
        <v>44236</v>
      </c>
      <c r="C66" s="107"/>
      <c r="E66" s="106">
        <v>43655</v>
      </c>
    </row>
    <row r="67" spans="1:5" x14ac:dyDescent="0.3">
      <c r="A67" s="103"/>
      <c r="B67" s="103">
        <f t="shared" si="0"/>
        <v>44237</v>
      </c>
      <c r="C67" s="107"/>
      <c r="E67" s="106">
        <v>43775</v>
      </c>
    </row>
    <row r="68" spans="1:5" x14ac:dyDescent="0.3">
      <c r="A68" s="103"/>
      <c r="B68" s="103">
        <f t="shared" ref="B68:B69" si="1">+WORKDAY(B67,1,$E$2:$E$83)</f>
        <v>44238</v>
      </c>
      <c r="C68" s="107"/>
      <c r="E68" s="106">
        <v>43807</v>
      </c>
    </row>
    <row r="69" spans="1:5" x14ac:dyDescent="0.3">
      <c r="A69" s="103"/>
      <c r="B69" s="103">
        <f t="shared" si="1"/>
        <v>44239</v>
      </c>
      <c r="C69" s="108"/>
      <c r="E69" s="106">
        <v>43824</v>
      </c>
    </row>
    <row r="70" spans="1:5" x14ac:dyDescent="0.3">
      <c r="E70" s="106">
        <v>43831</v>
      </c>
    </row>
    <row r="71" spans="1:5" x14ac:dyDescent="0.3">
      <c r="E71" s="98">
        <v>44021</v>
      </c>
    </row>
    <row r="72" spans="1:5" x14ac:dyDescent="0.3">
      <c r="E72" s="98">
        <v>44022</v>
      </c>
    </row>
    <row r="73" spans="1:5" x14ac:dyDescent="0.3">
      <c r="E73" s="98">
        <v>44141</v>
      </c>
    </row>
    <row r="74" spans="1:5" x14ac:dyDescent="0.3">
      <c r="E74" s="98">
        <v>44158</v>
      </c>
    </row>
    <row r="75" spans="1:5" x14ac:dyDescent="0.3">
      <c r="E75" s="98">
        <v>44172</v>
      </c>
    </row>
    <row r="76" spans="1:5" x14ac:dyDescent="0.3">
      <c r="E76" s="98">
        <v>44173</v>
      </c>
    </row>
    <row r="77" spans="1:5" x14ac:dyDescent="0.3">
      <c r="E77" s="98">
        <v>44189</v>
      </c>
    </row>
    <row r="78" spans="1:5" x14ac:dyDescent="0.3">
      <c r="E78" s="98">
        <v>44190</v>
      </c>
    </row>
    <row r="79" spans="1:5" x14ac:dyDescent="0.3">
      <c r="E79" s="98">
        <v>44196</v>
      </c>
    </row>
    <row r="80" spans="1:5" x14ac:dyDescent="0.3">
      <c r="E80" s="98">
        <v>44197</v>
      </c>
    </row>
    <row r="81" spans="5:5" x14ac:dyDescent="0.3">
      <c r="E81" s="98">
        <v>44279</v>
      </c>
    </row>
    <row r="82" spans="5:5" x14ac:dyDescent="0.3">
      <c r="E82" s="98">
        <v>44288</v>
      </c>
    </row>
    <row r="83" spans="5:5" x14ac:dyDescent="0.3">
      <c r="E83" s="98">
        <v>44341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Red Surcos</vt:lpstr>
      <vt:lpstr>Serie V USD Linked</vt:lpstr>
      <vt:lpstr>Badlar</vt:lpstr>
      <vt:lpstr>'Serie V USD Linked'!_DV_M3</vt:lpstr>
      <vt:lpstr>'Serie V USD Linked'!Área_de_impresión</vt:lpstr>
    </vt:vector>
  </TitlesOfParts>
  <Company>Banco Itau Argentina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Ponieman</dc:creator>
  <cp:lastModifiedBy>Mlisei</cp:lastModifiedBy>
  <cp:lastPrinted>2012-07-11T16:27:23Z</cp:lastPrinted>
  <dcterms:created xsi:type="dcterms:W3CDTF">2012-05-11T18:43:00Z</dcterms:created>
  <dcterms:modified xsi:type="dcterms:W3CDTF">2021-02-22T14:11:55Z</dcterms:modified>
</cp:coreProperties>
</file>