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cba.usr.bpba\files\1296BancadeInversion\EMISIONES\ALBANESI\Canje + New Money GEMSA - CTR - Nov. 2021\"/>
    </mc:Choice>
  </mc:AlternateContent>
  <workbookProtection workbookAlgorithmName="SHA-512" workbookHashValue="VTW1NLD+IB36NkT+eydP3EpjSY1/UlWZuzmPlOOrdqN4tz8rmJl3DKMDgU9DMQCOsh8CeJLeFhiPRChGL6/Qxg==" workbookSaltValue="8zSKaPlH8te8YMCKtAgxKg==" workbookSpinCount="100000" lockStructure="1"/>
  <bookViews>
    <workbookView xWindow="0" yWindow="0" windowWidth="22545" windowHeight="10545" tabRatio="848" activeTab="1"/>
  </bookViews>
  <sheets>
    <sheet name="GEMSA + CTR - CANJE" sheetId="20" r:id="rId1"/>
    <sheet name="GEMSA + CTR - NEW MONEY" sheetId="15" r:id="rId2"/>
    <sheet name="Clase XI USD Linked" sheetId="5" r:id="rId3"/>
    <sheet name="Clase XII $ UVA" sheetId="11" r:id="rId4"/>
    <sheet name="Relaciones de Canje" sheetId="19" state="hidden" r:id="rId5"/>
    <sheet name="Badlar" sheetId="17" state="hidden" r:id="rId6"/>
  </sheets>
  <externalReferences>
    <externalReference r:id="rId7"/>
  </externalReferences>
  <definedNames>
    <definedName name="_DV_M3" localSheetId="2">'Clase XI USD Linked'!$C$7</definedName>
    <definedName name="_DV_M3" localSheetId="3">'Clase XII $ UVA'!$C$7</definedName>
    <definedName name="_xlnm.Print_Area" localSheetId="2">'Clase XI USD Linked'!$B$2:$L$32</definedName>
    <definedName name="_xlnm.Print_Area" localSheetId="3">'Clase XII $ UVA'!$B$2:$L$34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5" l="1"/>
  <c r="S20" i="5"/>
  <c r="S21" i="5"/>
  <c r="S22" i="5"/>
  <c r="S23" i="5"/>
  <c r="S24" i="5"/>
  <c r="S25" i="5"/>
  <c r="S26" i="5"/>
  <c r="S27" i="5"/>
  <c r="S28" i="5"/>
  <c r="S29" i="5"/>
  <c r="S30" i="5"/>
  <c r="S19" i="5"/>
  <c r="S18" i="5" s="1"/>
  <c r="D21" i="15" s="1"/>
  <c r="D6" i="20" l="1"/>
  <c r="G6" i="20" s="1"/>
  <c r="G5" i="20"/>
  <c r="E6" i="11"/>
  <c r="E4" i="11"/>
  <c r="E5" i="11" s="1"/>
  <c r="D31" i="11"/>
  <c r="D28" i="11"/>
  <c r="D22" i="11"/>
  <c r="D27" i="5"/>
  <c r="B6" i="19" l="1"/>
  <c r="B29" i="19" l="1"/>
  <c r="B45" i="19" s="1"/>
  <c r="B28" i="19"/>
  <c r="B21" i="19"/>
  <c r="B22" i="19" s="1"/>
  <c r="B26" i="19" s="1"/>
  <c r="D25" i="20" s="1"/>
  <c r="B14" i="19" l="1"/>
  <c r="B13" i="19"/>
  <c r="B27" i="19"/>
  <c r="B7" i="19"/>
  <c r="B11" i="19" s="1"/>
  <c r="D19" i="20" s="1"/>
  <c r="B12" i="19" l="1"/>
  <c r="H27" i="11" l="1"/>
  <c r="H28" i="11"/>
  <c r="H29" i="11"/>
  <c r="H30" i="11"/>
  <c r="H31" i="11"/>
  <c r="C20" i="1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19" i="5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H28" i="5"/>
  <c r="H29" i="5"/>
  <c r="H30" i="5"/>
  <c r="H25" i="5"/>
  <c r="H26" i="5"/>
  <c r="H27" i="5"/>
  <c r="E14" i="11"/>
  <c r="E13" i="5"/>
  <c r="D6" i="15"/>
  <c r="G6" i="15" s="1"/>
  <c r="E4" i="5"/>
  <c r="D18" i="5" s="1"/>
  <c r="H21" i="11"/>
  <c r="H22" i="11"/>
  <c r="H23" i="11"/>
  <c r="H24" i="11"/>
  <c r="H25" i="11"/>
  <c r="H26" i="11"/>
  <c r="H20" i="11"/>
  <c r="H20" i="5"/>
  <c r="H21" i="5"/>
  <c r="H22" i="5"/>
  <c r="H23" i="5"/>
  <c r="H24" i="5"/>
  <c r="H19" i="5"/>
  <c r="G5" i="15"/>
  <c r="B36" i="19" l="1"/>
  <c r="B37" i="19" s="1"/>
  <c r="B46" i="19" s="1"/>
  <c r="B41" i="19" s="1"/>
  <c r="D31" i="20" s="1"/>
  <c r="E19" i="5"/>
  <c r="G16" i="15"/>
  <c r="D16" i="15"/>
  <c r="G32" i="11"/>
  <c r="E21" i="11"/>
  <c r="E11" i="11"/>
  <c r="E10" i="5"/>
  <c r="O31" i="5"/>
  <c r="E5" i="5"/>
  <c r="G31" i="5"/>
  <c r="A19" i="5" l="1"/>
  <c r="B40" i="19"/>
  <c r="G19" i="20" s="1"/>
  <c r="E20" i="5"/>
  <c r="J4" i="17"/>
  <c r="K4" i="17" s="1"/>
  <c r="H4" i="17"/>
  <c r="B4" i="17"/>
  <c r="B5" i="17" s="1"/>
  <c r="B6" i="17" s="1"/>
  <c r="B7" i="17" s="1"/>
  <c r="B8" i="17" s="1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43" i="17" s="1"/>
  <c r="B44" i="17" s="1"/>
  <c r="B45" i="17" s="1"/>
  <c r="B46" i="17" s="1"/>
  <c r="B47" i="17" s="1"/>
  <c r="B48" i="17" s="1"/>
  <c r="B49" i="17" s="1"/>
  <c r="B50" i="17" s="1"/>
  <c r="B51" i="17" s="1"/>
  <c r="B52" i="17" s="1"/>
  <c r="B53" i="17" s="1"/>
  <c r="B54" i="17" s="1"/>
  <c r="B55" i="17" s="1"/>
  <c r="B56" i="17" s="1"/>
  <c r="B57" i="17" s="1"/>
  <c r="B58" i="17" s="1"/>
  <c r="B59" i="17" s="1"/>
  <c r="B60" i="17" s="1"/>
  <c r="B61" i="17" s="1"/>
  <c r="B62" i="17" s="1"/>
  <c r="B63" i="17" s="1"/>
  <c r="B64" i="17" s="1"/>
  <c r="B65" i="17" s="1"/>
  <c r="B66" i="17" s="1"/>
  <c r="B67" i="17" s="1"/>
  <c r="B68" i="17" s="1"/>
  <c r="B69" i="17" s="1"/>
  <c r="I3" i="17"/>
  <c r="L4" i="17" s="1"/>
  <c r="J2" i="17"/>
  <c r="K2" i="17" s="1"/>
  <c r="D21" i="5" l="1"/>
  <c r="A20" i="5"/>
  <c r="E22" i="11"/>
  <c r="P15" i="11"/>
  <c r="H3" i="17"/>
  <c r="L3" i="17"/>
  <c r="E23" i="11" l="1"/>
  <c r="A21" i="5"/>
  <c r="E21" i="5"/>
  <c r="H2" i="17"/>
  <c r="A22" i="5" l="1"/>
  <c r="E22" i="5"/>
  <c r="E24" i="11"/>
  <c r="E9" i="11"/>
  <c r="E10" i="11" s="1"/>
  <c r="E9" i="5"/>
  <c r="F28" i="5" l="1"/>
  <c r="F29" i="5"/>
  <c r="F30" i="5"/>
  <c r="J18" i="5"/>
  <c r="I19" i="5"/>
  <c r="E25" i="11"/>
  <c r="A23" i="5"/>
  <c r="E23" i="5"/>
  <c r="J19" i="11"/>
  <c r="F27" i="11"/>
  <c r="F29" i="11"/>
  <c r="F31" i="11"/>
  <c r="F28" i="11"/>
  <c r="F30" i="11"/>
  <c r="F25" i="5"/>
  <c r="F26" i="5"/>
  <c r="F27" i="5"/>
  <c r="F26" i="11"/>
  <c r="F24" i="11"/>
  <c r="F25" i="11"/>
  <c r="I21" i="11"/>
  <c r="I22" i="11"/>
  <c r="I23" i="11"/>
  <c r="F22" i="11"/>
  <c r="F21" i="11"/>
  <c r="F23" i="11"/>
  <c r="F24" i="5"/>
  <c r="F19" i="5"/>
  <c r="F23" i="5"/>
  <c r="F20" i="5"/>
  <c r="A24" i="5" l="1"/>
  <c r="E24" i="5"/>
  <c r="I27" i="11"/>
  <c r="J27" i="11" s="1"/>
  <c r="E26" i="11"/>
  <c r="J22" i="11"/>
  <c r="I26" i="11"/>
  <c r="J26" i="11" s="1"/>
  <c r="I25" i="11"/>
  <c r="J25" i="11" s="1"/>
  <c r="J23" i="11"/>
  <c r="J21" i="11"/>
  <c r="J19" i="5"/>
  <c r="I20" i="5"/>
  <c r="I21" i="5"/>
  <c r="A25" i="5" l="1"/>
  <c r="E25" i="5"/>
  <c r="E27" i="11"/>
  <c r="R22" i="11"/>
  <c r="F20" i="11"/>
  <c r="E28" i="11" l="1"/>
  <c r="I28" i="11"/>
  <c r="J28" i="11" s="1"/>
  <c r="A26" i="5"/>
  <c r="E26" i="5"/>
  <c r="I26" i="5"/>
  <c r="J26" i="5" s="1"/>
  <c r="F32" i="11"/>
  <c r="I24" i="11"/>
  <c r="J24" i="11" s="1"/>
  <c r="E29" i="11" l="1"/>
  <c r="I29" i="11"/>
  <c r="J29" i="11" s="1"/>
  <c r="A27" i="5"/>
  <c r="E27" i="5"/>
  <c r="I27" i="5"/>
  <c r="J27" i="5" s="1"/>
  <c r="R21" i="11"/>
  <c r="E30" i="11" l="1"/>
  <c r="I30" i="11"/>
  <c r="J30" i="11" s="1"/>
  <c r="A28" i="5"/>
  <c r="E28" i="5"/>
  <c r="I28" i="5"/>
  <c r="J28" i="5" s="1"/>
  <c r="F21" i="5"/>
  <c r="F22" i="5"/>
  <c r="I25" i="5" s="1"/>
  <c r="J25" i="5" s="1"/>
  <c r="A29" i="5" l="1"/>
  <c r="E29" i="5"/>
  <c r="D30" i="5"/>
  <c r="I29" i="5"/>
  <c r="J29" i="5" s="1"/>
  <c r="E31" i="11"/>
  <c r="I31" i="11"/>
  <c r="I24" i="5"/>
  <c r="I22" i="5"/>
  <c r="I23" i="5"/>
  <c r="F31" i="5"/>
  <c r="J31" i="11" l="1"/>
  <c r="R31" i="11"/>
  <c r="E30" i="5"/>
  <c r="A30" i="5"/>
  <c r="E6" i="5"/>
  <c r="A4" i="5" s="1"/>
  <c r="A5" i="5" s="1"/>
  <c r="I30" i="5"/>
  <c r="J30" i="5" s="1"/>
  <c r="I31" i="5" l="1"/>
  <c r="Q30" i="5"/>
  <c r="P30" i="5"/>
  <c r="P27" i="5" l="1"/>
  <c r="Q27" i="5"/>
  <c r="J24" i="5"/>
  <c r="Q24" i="5" l="1"/>
  <c r="P24" i="5"/>
  <c r="J23" i="5"/>
  <c r="P23" i="5" l="1"/>
  <c r="Q23" i="5"/>
  <c r="J22" i="5"/>
  <c r="Q22" i="5" l="1"/>
  <c r="P22" i="5"/>
  <c r="E11" i="5"/>
  <c r="D12" i="20" s="1"/>
  <c r="D12" i="15" l="1"/>
  <c r="J21" i="5"/>
  <c r="E31" i="5"/>
  <c r="J20" i="5"/>
  <c r="J31" i="5" l="1"/>
  <c r="Q20" i="5"/>
  <c r="Q18" i="5" s="1"/>
  <c r="P20" i="5"/>
  <c r="P18" i="5" s="1"/>
  <c r="P13" i="5"/>
  <c r="P21" i="5"/>
  <c r="Q21" i="5"/>
  <c r="E14" i="5"/>
  <c r="N19" i="5" l="1"/>
  <c r="O19" i="5" s="1"/>
  <c r="E15" i="5"/>
  <c r="N20" i="5"/>
  <c r="D18" i="15"/>
  <c r="N23" i="5"/>
  <c r="O23" i="5" s="1"/>
  <c r="N30" i="5"/>
  <c r="O30" i="5" s="1"/>
  <c r="N27" i="5"/>
  <c r="O27" i="5" s="1"/>
  <c r="N24" i="5"/>
  <c r="O24" i="5" s="1"/>
  <c r="N22" i="5"/>
  <c r="O22" i="5" s="1"/>
  <c r="N21" i="5"/>
  <c r="O21" i="5" s="1"/>
  <c r="D19" i="15" l="1"/>
  <c r="O20" i="5"/>
  <c r="O18" i="5" s="1"/>
  <c r="E12" i="5" s="1"/>
  <c r="D13" i="20" s="1"/>
  <c r="N18" i="5"/>
  <c r="F12" i="5" l="1"/>
  <c r="D13" i="15"/>
  <c r="A6" i="11" l="1"/>
  <c r="A9" i="11" s="1"/>
  <c r="D19" i="11"/>
  <c r="A20" i="11" s="1"/>
  <c r="E20" i="11" l="1"/>
  <c r="E32" i="11" s="1"/>
  <c r="A21" i="11"/>
  <c r="A22" i="11"/>
  <c r="A23" i="11"/>
  <c r="Q23" i="11" s="1"/>
  <c r="A24" i="11"/>
  <c r="Q24" i="11" s="1"/>
  <c r="A25" i="11"/>
  <c r="Q25" i="11" s="1"/>
  <c r="A26" i="11"/>
  <c r="Q26" i="11" s="1"/>
  <c r="A27" i="11"/>
  <c r="Q27" i="11" s="1"/>
  <c r="A28" i="11"/>
  <c r="Q28" i="11" s="1"/>
  <c r="A29" i="11"/>
  <c r="Q29" i="11" s="1"/>
  <c r="A30" i="11"/>
  <c r="Q30" i="11" s="1"/>
  <c r="A31" i="11"/>
  <c r="I20" i="11"/>
  <c r="R20" i="11" s="1"/>
  <c r="P31" i="11" l="1"/>
  <c r="Q31" i="11"/>
  <c r="P21" i="11"/>
  <c r="Q21" i="11"/>
  <c r="P22" i="11"/>
  <c r="Q22" i="11"/>
  <c r="I32" i="11"/>
  <c r="E12" i="11"/>
  <c r="G12" i="20" s="1"/>
  <c r="J20" i="11"/>
  <c r="J32" i="11"/>
  <c r="G12" i="15" l="1"/>
  <c r="E15" i="11"/>
  <c r="N25" i="11" s="1"/>
  <c r="O25" i="11" s="1"/>
  <c r="Q20" i="11"/>
  <c r="Q19" i="11" s="1"/>
  <c r="P20" i="11"/>
  <c r="P19" i="11" s="1"/>
  <c r="P14" i="11"/>
  <c r="N27" i="11"/>
  <c r="O27" i="11" s="1"/>
  <c r="N29" i="11"/>
  <c r="O29" i="11" s="1"/>
  <c r="N26" i="11"/>
  <c r="O26" i="11" s="1"/>
  <c r="G18" i="15"/>
  <c r="G19" i="15" s="1"/>
  <c r="N24" i="11" l="1"/>
  <c r="O24" i="11" s="1"/>
  <c r="N22" i="11"/>
  <c r="O22" i="11" s="1"/>
  <c r="N28" i="11"/>
  <c r="O28" i="11" s="1"/>
  <c r="N20" i="11"/>
  <c r="O20" i="11" s="1"/>
  <c r="E16" i="11"/>
  <c r="N31" i="11"/>
  <c r="O31" i="11" s="1"/>
  <c r="N30" i="11"/>
  <c r="O30" i="11" s="1"/>
  <c r="N21" i="11"/>
  <c r="O21" i="11" s="1"/>
  <c r="N23" i="11"/>
  <c r="O23" i="11" s="1"/>
  <c r="O32" i="11"/>
  <c r="O19" i="11" l="1"/>
  <c r="N19" i="11"/>
  <c r="E13" i="11"/>
  <c r="G13" i="20" s="1"/>
  <c r="G13" i="15" l="1"/>
  <c r="F12" i="11"/>
</calcChain>
</file>

<file path=xl/sharedStrings.xml><?xml version="1.0" encoding="utf-8"?>
<sst xmlns="http://schemas.openxmlformats.org/spreadsheetml/2006/main" count="171" uniqueCount="79">
  <si>
    <t>Fecha de Vencimiento:</t>
  </si>
  <si>
    <t>Moneda:</t>
  </si>
  <si>
    <t>Base:</t>
  </si>
  <si>
    <t>N° Cupón</t>
  </si>
  <si>
    <t>Días</t>
  </si>
  <si>
    <t>Amortización</t>
  </si>
  <si>
    <t>Intereses</t>
  </si>
  <si>
    <t>Flujo</t>
  </si>
  <si>
    <t>VA Flujo</t>
  </si>
  <si>
    <t>Cupón</t>
  </si>
  <si>
    <t>Vida Promedio (años):</t>
  </si>
  <si>
    <t>TIR (TEA)</t>
  </si>
  <si>
    <t>Check</t>
  </si>
  <si>
    <t>Cupón (TNA)</t>
  </si>
  <si>
    <t>Amortización %</t>
  </si>
  <si>
    <t>TNA</t>
  </si>
  <si>
    <t>VN a licitar</t>
  </si>
  <si>
    <t>US$ Linked</t>
  </si>
  <si>
    <t>Precio a Licitar</t>
  </si>
  <si>
    <t>Duration (años):</t>
  </si>
  <si>
    <t>Fecha de Liquidación:</t>
  </si>
  <si>
    <t>Fecha de Emisión:</t>
  </si>
  <si>
    <t xml:space="preserve">La presente planilla de cálculo debe ser considerada por el interesado al sólo efecto ilustrativo y ejemplificativo. Los resultados que esta arroje no serán vinculantes y pueden sufrir variaciones ante cambios en cualquiera de los supuestos de elaboración. A los efectos de la suscripción de las Obligaciones Negociables, el interesado deberá basarse en sus propios cálculos y evaluación de la información publicada en el Suplemento de Prospecto y en particular las consideraciones de riesgo para la inversión. </t>
  </si>
  <si>
    <t>Tasa</t>
  </si>
  <si>
    <t>Fechas de Devengamiento</t>
  </si>
  <si>
    <t>Relación de Canje</t>
  </si>
  <si>
    <t>Badlar Conocida</t>
  </si>
  <si>
    <t>Badlar Ponderada</t>
  </si>
  <si>
    <t>Fecha de Vencimiento</t>
  </si>
  <si>
    <t>Vida Promedio (años)</t>
  </si>
  <si>
    <t>Duration (años)</t>
  </si>
  <si>
    <t>Badñar promedio</t>
  </si>
  <si>
    <t>Feriados</t>
  </si>
  <si>
    <t>Fechas</t>
  </si>
  <si>
    <t>Badlar BP</t>
  </si>
  <si>
    <t>Badlar Promedio</t>
  </si>
  <si>
    <t>Fecha de Emisión y Liquidación</t>
  </si>
  <si>
    <t xml:space="preserve"> Tc Inicial</t>
  </si>
  <si>
    <t xml:space="preserve"> UVA Inicial</t>
  </si>
  <si>
    <t>ON CLASE VII - Dólar Linked</t>
  </si>
  <si>
    <t>Pesos UVA</t>
  </si>
  <si>
    <t>ON CLASE VIII -Pesos UVA</t>
  </si>
  <si>
    <t>Cupon</t>
  </si>
  <si>
    <t>ARS a licitar</t>
  </si>
  <si>
    <t>UVA a licitar</t>
  </si>
  <si>
    <t>ARS a integrar</t>
  </si>
  <si>
    <t>VN a recibir</t>
  </si>
  <si>
    <t>Prima</t>
  </si>
  <si>
    <t>Integracion en especie c/ ON Clase VII</t>
  </si>
  <si>
    <t>Integracion en especie c/ ON Clase VIII</t>
  </si>
  <si>
    <t>Último pago intereses</t>
  </si>
  <si>
    <t>Fecha de emisión Serie VII</t>
  </si>
  <si>
    <t>Interés devengado a Fecha de Canje</t>
  </si>
  <si>
    <t>Monto AR$</t>
  </si>
  <si>
    <t>Capital residual</t>
  </si>
  <si>
    <t>Relación de canje en USD</t>
  </si>
  <si>
    <t>TC integración</t>
  </si>
  <si>
    <t>Relación de canje GEMSA CLASE V</t>
  </si>
  <si>
    <t>Relación de canje GEMSA CLASE VII USD Linked</t>
  </si>
  <si>
    <t>Tasa de interés</t>
  </si>
  <si>
    <t xml:space="preserve">Fecha de emisión </t>
  </si>
  <si>
    <t>Monto</t>
  </si>
  <si>
    <t>Integracion en especie c/ ON Clase V</t>
  </si>
  <si>
    <t>UVA</t>
  </si>
  <si>
    <t>Relación de canje en $ UVA</t>
  </si>
  <si>
    <t>Tasa de interés UVA</t>
  </si>
  <si>
    <t>Relación de canje en UVA</t>
  </si>
  <si>
    <t>VN a entregar</t>
  </si>
  <si>
    <t>Relación de canje GEMSA CLASE VIII UVA</t>
  </si>
  <si>
    <t>Prima UVA</t>
  </si>
  <si>
    <t>Prima USD</t>
  </si>
  <si>
    <t>ON CLASE XI - Dólar Linked</t>
  </si>
  <si>
    <t>ON CLASE XII - $ UVA</t>
  </si>
  <si>
    <t>TC canje</t>
  </si>
  <si>
    <t>Clase XI USD Linked</t>
  </si>
  <si>
    <t>Clase XII $ UVA</t>
  </si>
  <si>
    <t>SERIE A</t>
  </si>
  <si>
    <t>SERIE B</t>
  </si>
  <si>
    <t>TIR Requerida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</si>
</sst>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 * #,##0.00_ ;_ * \-#,##0.00_ ;_ * &quot;-&quot;??_ ;_ @_ "/>
    <numFmt numFmtId="165" formatCode="_-* #,##0.00_-;\-* #,##0.00_-;_-* &quot;-&quot;??_-;_-@_-"/>
    <numFmt numFmtId="166" formatCode="_-* #,##0.00\ _€_-;\-* #,##0.00\ _€_-;_-* &quot;-&quot;??\ _€_-;_-@_-"/>
    <numFmt numFmtId="167" formatCode="_-* #,##0\ _€_-;\-* #,##0\ _€_-;_-* &quot;-&quot;??\ _€_-;_-@_-"/>
    <numFmt numFmtId="168" formatCode="#,##0.00_ ;\-#,##0.00\ "/>
    <numFmt numFmtId="169" formatCode="[$-F800]dddd\,\ mmmm\ dd\,\ yyyy"/>
    <numFmt numFmtId="170" formatCode="#,##0_ ;\-#,##0\ "/>
    <numFmt numFmtId="171" formatCode="0.0000"/>
    <numFmt numFmtId="172" formatCode="0.0%"/>
    <numFmt numFmtId="173" formatCode="_ * #,##0.0000_ ;_ * \-#,##0.0000_ ;_ * &quot;-&quot;??_ ;_ @_ "/>
    <numFmt numFmtId="174" formatCode="#,##0.0000_ ;\-#,##0.0000\ "/>
    <numFmt numFmtId="175" formatCode="dd\-mm\-yy;@"/>
    <numFmt numFmtId="176" formatCode="0.0000%"/>
    <numFmt numFmtId="177" formatCode="_-* #,##0.0000000\ _€_-;\-* #,##0.0000000\ _€_-;_-* &quot;-&quot;??\ _€_-;_-@_-"/>
    <numFmt numFmtId="178" formatCode="_ * #,##0.000000_ ;_ * \-#,##0.000000_ ;_ * &quot;-&quot;??_ ;_ @_ "/>
    <numFmt numFmtId="179" formatCode="_-* #,##0.000000\ _€_-;\-* #,##0.000000\ _€_-;_-* &quot;-&quot;??\ _€_-;_-@_-"/>
    <numFmt numFmtId="180" formatCode="_-* #,##0.000000_-;\-* #,##0.000000_-;_-* &quot;-&quot;????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u/>
      <sz val="10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i/>
      <sz val="10"/>
      <color theme="1" tint="0.14999847407452621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B1CD1E"/>
        <bgColor rgb="FFB1CD1E"/>
      </patternFill>
    </fill>
    <fill>
      <patternFill patternType="solid">
        <fgColor rgb="FF25B4BD"/>
        <bgColor indexed="64"/>
      </patternFill>
    </fill>
    <fill>
      <patternFill patternType="solid">
        <fgColor rgb="FF279D2E"/>
        <bgColor indexed="64"/>
      </patternFill>
    </fill>
    <fill>
      <patternFill patternType="solid">
        <fgColor rgb="FFD0F4D2"/>
        <bgColor indexed="64"/>
      </patternFill>
    </fill>
    <fill>
      <patternFill patternType="solid">
        <fgColor rgb="FF8AE28E"/>
        <bgColor indexed="64"/>
      </patternFill>
    </fill>
    <fill>
      <patternFill patternType="solid">
        <fgColor rgb="FF666666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006600"/>
      </right>
      <top/>
      <bottom/>
      <diagonal/>
    </border>
    <border>
      <left style="medium">
        <color rgb="FF006600"/>
      </left>
      <right/>
      <top/>
      <bottom/>
      <diagonal/>
    </border>
    <border>
      <left/>
      <right/>
      <top/>
      <bottom style="medium">
        <color rgb="FF006600"/>
      </bottom>
      <diagonal/>
    </border>
    <border>
      <left/>
      <right/>
      <top style="medium">
        <color rgb="FF006600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/>
  </cellStyleXfs>
  <cellXfs count="184">
    <xf numFmtId="0" fontId="0" fillId="0" borderId="0" xfId="0"/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0" fontId="4" fillId="3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4" fontId="7" fillId="0" borderId="0" xfId="0" applyNumberFormat="1" applyFont="1" applyBorder="1" applyAlignment="1" applyProtection="1">
      <alignment horizontal="center" vertical="center"/>
      <protection hidden="1"/>
    </xf>
    <xf numFmtId="170" fontId="5" fillId="0" borderId="0" xfId="1" applyNumberFormat="1" applyFont="1" applyBorder="1" applyAlignment="1" applyProtection="1">
      <alignment horizontal="center" vertical="center"/>
      <protection hidden="1"/>
    </xf>
    <xf numFmtId="9" fontId="5" fillId="0" borderId="0" xfId="2" applyFont="1" applyBorder="1" applyAlignment="1" applyProtection="1">
      <alignment horizontal="center" vertical="center"/>
      <protection hidden="1"/>
    </xf>
    <xf numFmtId="169" fontId="5" fillId="0" borderId="0" xfId="0" applyNumberFormat="1" applyFont="1" applyBorder="1" applyAlignment="1" applyProtection="1">
      <alignment horizontal="center" vertical="center"/>
      <protection hidden="1"/>
    </xf>
    <xf numFmtId="10" fontId="8" fillId="0" borderId="0" xfId="0" applyNumberFormat="1" applyFont="1" applyFill="1" applyBorder="1" applyAlignment="1" applyProtection="1">
      <alignment horizontal="center" vertical="center"/>
      <protection hidden="1"/>
    </xf>
    <xf numFmtId="169" fontId="2" fillId="0" borderId="0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0" fontId="3" fillId="0" borderId="0" xfId="2" applyNumberFormat="1" applyFont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166" fontId="2" fillId="0" borderId="8" xfId="1" applyFont="1" applyFill="1" applyBorder="1" applyAlignment="1" applyProtection="1">
      <alignment horizontal="center" vertical="center"/>
      <protection hidden="1"/>
    </xf>
    <xf numFmtId="166" fontId="2" fillId="0" borderId="9" xfId="1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10" fontId="5" fillId="0" borderId="0" xfId="0" applyNumberFormat="1" applyFont="1" applyBorder="1" applyAlignment="1" applyProtection="1">
      <alignment horizontal="center" vertical="center"/>
      <protection hidden="1"/>
    </xf>
    <xf numFmtId="173" fontId="2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4" borderId="18" xfId="0" applyFont="1" applyFill="1" applyBorder="1" applyAlignment="1" applyProtection="1">
      <alignment horizontal="right" vertical="center"/>
      <protection hidden="1"/>
    </xf>
    <xf numFmtId="0" fontId="6" fillId="0" borderId="19" xfId="0" applyFont="1" applyBorder="1" applyAlignment="1" applyProtection="1">
      <alignment horizontal="center" vertical="center"/>
      <protection hidden="1"/>
    </xf>
    <xf numFmtId="0" fontId="4" fillId="4" borderId="20" xfId="0" applyFont="1" applyFill="1" applyBorder="1" applyAlignment="1" applyProtection="1">
      <alignment horizontal="right" vertical="center"/>
      <protection hidden="1"/>
    </xf>
    <xf numFmtId="0" fontId="6" fillId="0" borderId="21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right" vertical="center"/>
      <protection hidden="1"/>
    </xf>
    <xf numFmtId="10" fontId="4" fillId="3" borderId="19" xfId="0" applyNumberFormat="1" applyFont="1" applyFill="1" applyBorder="1" applyAlignment="1" applyProtection="1">
      <alignment horizontal="center" vertical="center"/>
      <protection hidden="1"/>
    </xf>
    <xf numFmtId="168" fontId="4" fillId="0" borderId="19" xfId="1" applyNumberFormat="1" applyFont="1" applyBorder="1" applyAlignment="1" applyProtection="1">
      <alignment horizontal="center" vertical="center"/>
      <protection hidden="1"/>
    </xf>
    <xf numFmtId="0" fontId="4" fillId="3" borderId="18" xfId="0" applyFont="1" applyFill="1" applyBorder="1" applyAlignment="1" applyProtection="1">
      <alignment horizontal="right" vertical="center"/>
      <protection hidden="1"/>
    </xf>
    <xf numFmtId="174" fontId="11" fillId="5" borderId="23" xfId="1" applyNumberFormat="1" applyFont="1" applyFill="1" applyBorder="1" applyAlignment="1" applyProtection="1">
      <alignment horizontal="center" vertical="center"/>
      <protection locked="0"/>
    </xf>
    <xf numFmtId="0" fontId="11" fillId="5" borderId="22" xfId="0" applyFont="1" applyFill="1" applyBorder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2" fillId="0" borderId="1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166" fontId="12" fillId="0" borderId="10" xfId="1" applyFont="1" applyBorder="1" applyAlignment="1" applyProtection="1">
      <alignment horizontal="center" vertical="center"/>
      <protection hidden="1"/>
    </xf>
    <xf numFmtId="166" fontId="5" fillId="0" borderId="0" xfId="1" applyFont="1" applyBorder="1" applyAlignment="1" applyProtection="1">
      <alignment horizontal="center" vertical="center"/>
      <protection hidden="1"/>
    </xf>
    <xf numFmtId="14" fontId="12" fillId="0" borderId="1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Border="1" applyAlignment="1" applyProtection="1">
      <alignment horizontal="right" vertical="center"/>
      <protection hidden="1"/>
    </xf>
    <xf numFmtId="0" fontId="15" fillId="4" borderId="0" xfId="0" applyFont="1" applyFill="1" applyBorder="1" applyAlignment="1" applyProtection="1">
      <alignment horizontal="left" vertical="center"/>
      <protection hidden="1"/>
    </xf>
    <xf numFmtId="176" fontId="16" fillId="3" borderId="0" xfId="0" applyNumberFormat="1" applyFont="1" applyFill="1" applyBorder="1" applyAlignment="1" applyProtection="1">
      <alignment horizontal="center" vertical="center"/>
      <protection hidden="1"/>
    </xf>
    <xf numFmtId="14" fontId="6" fillId="4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170" fontId="11" fillId="0" borderId="0" xfId="1" applyNumberFormat="1" applyFont="1" applyBorder="1" applyAlignment="1" applyProtection="1">
      <alignment horizontal="center" vertical="center"/>
      <protection locked="0" hidden="1"/>
    </xf>
    <xf numFmtId="168" fontId="4" fillId="0" borderId="0" xfId="1" applyNumberFormat="1" applyFont="1" applyBorder="1" applyAlignment="1" applyProtection="1">
      <alignment horizontal="center" vertical="center"/>
      <protection hidden="1"/>
    </xf>
    <xf numFmtId="0" fontId="11" fillId="5" borderId="0" xfId="0" applyFont="1" applyFill="1" applyBorder="1" applyAlignment="1" applyProtection="1">
      <alignment horizontal="right" vertical="center"/>
      <protection hidden="1"/>
    </xf>
    <xf numFmtId="174" fontId="11" fillId="5" borderId="0" xfId="1" applyNumberFormat="1" applyFont="1" applyFill="1" applyBorder="1" applyAlignment="1" applyProtection="1">
      <alignment horizontal="center" vertical="center"/>
      <protection locked="0"/>
    </xf>
    <xf numFmtId="10" fontId="3" fillId="0" borderId="0" xfId="2" applyNumberFormat="1" applyFont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right" vertical="center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166" fontId="2" fillId="0" borderId="0" xfId="1" applyFont="1" applyFill="1" applyBorder="1" applyAlignment="1" applyProtection="1">
      <alignment horizontal="center" vertical="center"/>
      <protection hidden="1"/>
    </xf>
    <xf numFmtId="173" fontId="2" fillId="0" borderId="0" xfId="0" applyNumberFormat="1" applyFont="1" applyBorder="1" applyAlignment="1" applyProtection="1">
      <alignment horizontal="center" vertical="center"/>
      <protection hidden="1"/>
    </xf>
    <xf numFmtId="167" fontId="5" fillId="0" borderId="0" xfId="0" applyNumberFormat="1" applyFont="1" applyFill="1" applyBorder="1" applyAlignment="1" applyProtection="1">
      <alignment horizontal="center" vertical="center"/>
      <protection hidden="1"/>
    </xf>
    <xf numFmtId="171" fontId="7" fillId="0" borderId="0" xfId="2" applyNumberFormat="1" applyFont="1" applyFill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/>
      <protection hidden="1"/>
    </xf>
    <xf numFmtId="172" fontId="7" fillId="0" borderId="0" xfId="2" applyNumberFormat="1" applyFont="1" applyBorder="1" applyAlignment="1" applyProtection="1">
      <alignment horizontal="center" vertical="center"/>
      <protection hidden="1"/>
    </xf>
    <xf numFmtId="166" fontId="13" fillId="6" borderId="0" xfId="1" applyFont="1" applyFill="1"/>
    <xf numFmtId="176" fontId="5" fillId="0" borderId="0" xfId="0" applyNumberFormat="1" applyFont="1" applyBorder="1" applyAlignment="1" applyProtection="1">
      <alignment horizontal="center" vertical="center"/>
      <protection hidden="1"/>
    </xf>
    <xf numFmtId="10" fontId="17" fillId="7" borderId="24" xfId="2" applyNumberFormat="1" applyFont="1" applyFill="1" applyBorder="1" applyAlignment="1">
      <alignment horizontal="center" vertical="center"/>
    </xf>
    <xf numFmtId="14" fontId="12" fillId="0" borderId="0" xfId="0" applyNumberFormat="1" applyFont="1" applyBorder="1" applyAlignment="1" applyProtection="1">
      <alignment horizontal="center" vertical="center"/>
      <protection hidden="1"/>
    </xf>
    <xf numFmtId="166" fontId="12" fillId="0" borderId="0" xfId="1" applyFont="1" applyBorder="1" applyAlignment="1" applyProtection="1">
      <alignment horizontal="center" vertical="center"/>
      <protection hidden="1"/>
    </xf>
    <xf numFmtId="0" fontId="12" fillId="0" borderId="11" xfId="0" applyFont="1" applyBorder="1" applyAlignment="1" applyProtection="1">
      <alignment horizontal="center" vertical="center"/>
      <protection hidden="1"/>
    </xf>
    <xf numFmtId="165" fontId="12" fillId="0" borderId="0" xfId="0" applyNumberFormat="1" applyFont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167" fontId="2" fillId="0" borderId="8" xfId="0" applyNumberFormat="1" applyFont="1" applyFill="1" applyBorder="1" applyAlignment="1" applyProtection="1">
      <alignment horizontal="center" vertical="center"/>
      <protection hidden="1"/>
    </xf>
    <xf numFmtId="171" fontId="2" fillId="0" borderId="9" xfId="2" applyNumberFormat="1" applyFont="1" applyFill="1" applyBorder="1" applyAlignment="1" applyProtection="1">
      <alignment horizontal="center" vertical="center"/>
      <protection hidden="1"/>
    </xf>
    <xf numFmtId="172" fontId="2" fillId="0" borderId="0" xfId="2" applyNumberFormat="1" applyFont="1" applyAlignment="1" applyProtection="1">
      <alignment horizontal="center" vertical="center"/>
      <protection hidden="1"/>
    </xf>
    <xf numFmtId="176" fontId="2" fillId="0" borderId="0" xfId="0" applyNumberFormat="1" applyFont="1" applyAlignment="1" applyProtection="1">
      <alignment horizontal="center" vertical="center"/>
      <protection hidden="1"/>
    </xf>
    <xf numFmtId="0" fontId="0" fillId="3" borderId="0" xfId="0" applyFill="1"/>
    <xf numFmtId="175" fontId="12" fillId="8" borderId="0" xfId="0" applyNumberFormat="1" applyFont="1" applyFill="1" applyAlignment="1">
      <alignment horizontal="left"/>
    </xf>
    <xf numFmtId="15" fontId="19" fillId="0" borderId="0" xfId="0" applyNumberFormat="1" applyFont="1"/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175" fontId="2" fillId="3" borderId="0" xfId="0" applyNumberFormat="1" applyFont="1" applyFill="1" applyAlignment="1">
      <alignment horizontal="left"/>
    </xf>
    <xf numFmtId="176" fontId="20" fillId="9" borderId="0" xfId="0" applyNumberFormat="1" applyFont="1" applyFill="1"/>
    <xf numFmtId="14" fontId="0" fillId="0" borderId="0" xfId="1" applyNumberFormat="1" applyFont="1"/>
    <xf numFmtId="2" fontId="19" fillId="0" borderId="0" xfId="0" applyNumberFormat="1" applyFont="1"/>
    <xf numFmtId="166" fontId="0" fillId="0" borderId="0" xfId="1" applyFont="1"/>
    <xf numFmtId="14" fontId="0" fillId="0" borderId="0" xfId="0" applyNumberFormat="1"/>
    <xf numFmtId="171" fontId="13" fillId="3" borderId="27" xfId="0" applyNumberFormat="1" applyFont="1" applyFill="1" applyBorder="1" applyAlignment="1">
      <alignment horizontal="right"/>
    </xf>
    <xf numFmtId="176" fontId="0" fillId="0" borderId="0" xfId="0" applyNumberFormat="1"/>
    <xf numFmtId="175" fontId="21" fillId="3" borderId="0" xfId="0" applyNumberFormat="1" applyFont="1" applyFill="1" applyAlignment="1">
      <alignment horizontal="left"/>
    </xf>
    <xf numFmtId="0" fontId="0" fillId="3" borderId="27" xfId="0" applyFill="1" applyBorder="1"/>
    <xf numFmtId="0" fontId="0" fillId="3" borderId="28" xfId="0" applyFill="1" applyBorder="1"/>
    <xf numFmtId="10" fontId="18" fillId="11" borderId="9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9" fontId="1" fillId="0" borderId="0" xfId="2" applyFont="1" applyFill="1" applyAlignment="1">
      <alignment horizontal="center"/>
    </xf>
    <xf numFmtId="0" fontId="23" fillId="0" borderId="0" xfId="0" applyFont="1"/>
    <xf numFmtId="14" fontId="0" fillId="0" borderId="0" xfId="0" applyNumberFormat="1" applyFill="1" applyAlignment="1">
      <alignment horizontal="center"/>
    </xf>
    <xf numFmtId="10" fontId="0" fillId="0" borderId="0" xfId="0" applyNumberFormat="1" applyFill="1" applyAlignment="1">
      <alignment horizontal="center"/>
    </xf>
    <xf numFmtId="173" fontId="1" fillId="0" borderId="0" xfId="1" applyNumberFormat="1" applyFont="1" applyFill="1" applyAlignment="1">
      <alignment horizontal="center"/>
    </xf>
    <xf numFmtId="166" fontId="1" fillId="0" borderId="0" xfId="1" applyFont="1" applyFill="1" applyAlignment="1">
      <alignment horizontal="center"/>
    </xf>
    <xf numFmtId="9" fontId="23" fillId="0" borderId="0" xfId="2" applyFont="1" applyFill="1" applyAlignment="1">
      <alignment horizontal="center"/>
    </xf>
    <xf numFmtId="178" fontId="1" fillId="0" borderId="0" xfId="1" applyNumberFormat="1" applyFont="1" applyFill="1" applyAlignment="1">
      <alignment horizontal="center"/>
    </xf>
    <xf numFmtId="166" fontId="0" fillId="0" borderId="0" xfId="0" applyNumberFormat="1" applyFill="1"/>
    <xf numFmtId="166" fontId="0" fillId="0" borderId="0" xfId="1" applyFont="1" applyFill="1"/>
    <xf numFmtId="0" fontId="22" fillId="10" borderId="0" xfId="0" applyFont="1" applyFill="1"/>
    <xf numFmtId="0" fontId="24" fillId="10" borderId="0" xfId="0" applyFont="1" applyFill="1"/>
    <xf numFmtId="0" fontId="5" fillId="0" borderId="34" xfId="0" applyFont="1" applyBorder="1" applyAlignment="1" applyProtection="1">
      <alignment horizontal="center" vertical="center"/>
      <protection hidden="1"/>
    </xf>
    <xf numFmtId="169" fontId="4" fillId="0" borderId="34" xfId="0" applyNumberFormat="1" applyFont="1" applyBorder="1" applyAlignment="1" applyProtection="1">
      <alignment horizontal="center" vertical="center"/>
      <protection hidden="1"/>
    </xf>
    <xf numFmtId="166" fontId="4" fillId="0" borderId="34" xfId="1" applyFont="1" applyBorder="1" applyAlignment="1" applyProtection="1">
      <alignment horizontal="center" vertical="center"/>
      <protection hidden="1"/>
    </xf>
    <xf numFmtId="166" fontId="8" fillId="0" borderId="34" xfId="1" applyFont="1" applyFill="1" applyBorder="1" applyAlignment="1" applyProtection="1">
      <alignment horizontal="center" vertical="center"/>
      <protection hidden="1"/>
    </xf>
    <xf numFmtId="0" fontId="0" fillId="13" borderId="0" xfId="0" applyFill="1"/>
    <xf numFmtId="178" fontId="1" fillId="13" borderId="0" xfId="1" applyNumberFormat="1" applyFont="1" applyFill="1" applyAlignment="1">
      <alignment horizontal="center"/>
    </xf>
    <xf numFmtId="14" fontId="28" fillId="0" borderId="0" xfId="0" applyNumberFormat="1" applyFont="1" applyFill="1" applyAlignment="1">
      <alignment horizontal="center"/>
    </xf>
    <xf numFmtId="166" fontId="23" fillId="0" borderId="0" xfId="1" applyFont="1" applyFill="1"/>
    <xf numFmtId="166" fontId="18" fillId="11" borderId="9" xfId="1" applyFont="1" applyFill="1" applyBorder="1" applyAlignment="1" applyProtection="1">
      <alignment horizontal="center" vertical="center"/>
      <protection locked="0"/>
    </xf>
    <xf numFmtId="166" fontId="18" fillId="11" borderId="33" xfId="1" applyFont="1" applyFill="1" applyBorder="1" applyAlignment="1" applyProtection="1">
      <alignment horizontal="center" vertical="center"/>
      <protection locked="0"/>
    </xf>
    <xf numFmtId="0" fontId="26" fillId="3" borderId="0" xfId="0" applyFont="1" applyFill="1" applyBorder="1" applyProtection="1"/>
    <xf numFmtId="0" fontId="12" fillId="3" borderId="0" xfId="0" applyFont="1" applyFill="1" applyBorder="1" applyProtection="1"/>
    <xf numFmtId="0" fontId="25" fillId="3" borderId="0" xfId="0" applyFont="1" applyFill="1" applyBorder="1" applyAlignment="1" applyProtection="1">
      <alignment horizontal="center" vertical="center"/>
    </xf>
    <xf numFmtId="175" fontId="25" fillId="4" borderId="32" xfId="0" applyNumberFormat="1" applyFont="1" applyFill="1" applyBorder="1" applyAlignment="1" applyProtection="1">
      <alignment horizontal="left" vertical="center"/>
    </xf>
    <xf numFmtId="175" fontId="26" fillId="3" borderId="33" xfId="0" applyNumberFormat="1" applyFont="1" applyFill="1" applyBorder="1" applyAlignment="1" applyProtection="1">
      <alignment horizontal="center" vertical="center"/>
    </xf>
    <xf numFmtId="175" fontId="26" fillId="3" borderId="0" xfId="0" applyNumberFormat="1" applyFont="1" applyFill="1" applyBorder="1" applyProtection="1"/>
    <xf numFmtId="0" fontId="25" fillId="4" borderId="8" xfId="0" applyFont="1" applyFill="1" applyBorder="1" applyAlignment="1" applyProtection="1">
      <alignment horizontal="left" vertical="center"/>
    </xf>
    <xf numFmtId="175" fontId="26" fillId="3" borderId="9" xfId="0" applyNumberFormat="1" applyFont="1" applyFill="1" applyBorder="1" applyAlignment="1" applyProtection="1">
      <alignment horizontal="center" vertical="center"/>
    </xf>
    <xf numFmtId="175" fontId="25" fillId="4" borderId="8" xfId="0" applyNumberFormat="1" applyFont="1" applyFill="1" applyBorder="1" applyAlignment="1" applyProtection="1">
      <alignment horizontal="left" vertical="center"/>
    </xf>
    <xf numFmtId="0" fontId="25" fillId="3" borderId="8" xfId="0" applyFont="1" applyFill="1" applyBorder="1" applyAlignment="1" applyProtection="1">
      <alignment horizontal="left" vertical="center"/>
    </xf>
    <xf numFmtId="175" fontId="25" fillId="3" borderId="8" xfId="0" applyNumberFormat="1" applyFont="1" applyFill="1" applyBorder="1" applyAlignment="1" applyProtection="1">
      <alignment horizontal="left" vertical="center"/>
    </xf>
    <xf numFmtId="10" fontId="26" fillId="3" borderId="9" xfId="0" applyNumberFormat="1" applyFont="1" applyFill="1" applyBorder="1" applyAlignment="1" applyProtection="1">
      <alignment horizontal="center" vertical="center"/>
    </xf>
    <xf numFmtId="174" fontId="26" fillId="3" borderId="9" xfId="1" applyNumberFormat="1" applyFont="1" applyFill="1" applyBorder="1" applyAlignment="1" applyProtection="1">
      <alignment horizontal="center" vertical="center"/>
    </xf>
    <xf numFmtId="4" fontId="26" fillId="3" borderId="9" xfId="0" applyNumberFormat="1" applyFont="1" applyFill="1" applyBorder="1" applyAlignment="1" applyProtection="1">
      <alignment horizontal="center" vertical="center"/>
    </xf>
    <xf numFmtId="0" fontId="25" fillId="4" borderId="30" xfId="0" applyFont="1" applyFill="1" applyBorder="1" applyAlignment="1" applyProtection="1">
      <alignment horizontal="left" vertical="center"/>
    </xf>
    <xf numFmtId="4" fontId="26" fillId="3" borderId="31" xfId="0" applyNumberFormat="1" applyFont="1" applyFill="1" applyBorder="1" applyAlignment="1" applyProtection="1">
      <alignment horizontal="center" vertical="center"/>
    </xf>
    <xf numFmtId="0" fontId="26" fillId="3" borderId="0" xfId="0" applyFont="1" applyFill="1" applyBorder="1" applyAlignment="1" applyProtection="1">
      <alignment horizontal="left"/>
    </xf>
    <xf numFmtId="0" fontId="18" fillId="11" borderId="32" xfId="0" applyFont="1" applyFill="1" applyBorder="1" applyAlignment="1" applyProtection="1">
      <alignment horizontal="left" vertical="center"/>
    </xf>
    <xf numFmtId="0" fontId="25" fillId="12" borderId="8" xfId="0" applyFont="1" applyFill="1" applyBorder="1" applyAlignment="1" applyProtection="1">
      <alignment horizontal="left" vertical="center"/>
    </xf>
    <xf numFmtId="166" fontId="25" fillId="12" borderId="9" xfId="1" applyFont="1" applyFill="1" applyBorder="1" applyAlignment="1" applyProtection="1">
      <alignment horizontal="center" vertical="center"/>
    </xf>
    <xf numFmtId="0" fontId="18" fillId="11" borderId="8" xfId="0" applyFont="1" applyFill="1" applyBorder="1" applyAlignment="1" applyProtection="1">
      <alignment horizontal="left" vertical="center"/>
    </xf>
    <xf numFmtId="0" fontId="26" fillId="2" borderId="8" xfId="0" applyFont="1" applyFill="1" applyBorder="1" applyAlignment="1" applyProtection="1">
      <alignment horizontal="left" vertical="center"/>
    </xf>
    <xf numFmtId="10" fontId="26" fillId="2" borderId="9" xfId="0" applyNumberFormat="1" applyFont="1" applyFill="1" applyBorder="1" applyAlignment="1" applyProtection="1">
      <alignment horizontal="center" vertical="center"/>
    </xf>
    <xf numFmtId="0" fontId="26" fillId="2" borderId="30" xfId="0" applyFont="1" applyFill="1" applyBorder="1" applyAlignment="1" applyProtection="1">
      <alignment horizontal="left" vertical="center"/>
    </xf>
    <xf numFmtId="10" fontId="26" fillId="2" borderId="31" xfId="0" applyNumberFormat="1" applyFont="1" applyFill="1" applyBorder="1" applyAlignment="1" applyProtection="1">
      <alignment horizontal="center" vertical="center"/>
    </xf>
    <xf numFmtId="0" fontId="25" fillId="4" borderId="8" xfId="0" applyFont="1" applyFill="1" applyBorder="1" applyAlignment="1" applyProtection="1">
      <alignment horizontal="right" vertical="center"/>
    </xf>
    <xf numFmtId="179" fontId="25" fillId="4" borderId="9" xfId="1" applyNumberFormat="1" applyFont="1" applyFill="1" applyBorder="1" applyAlignment="1" applyProtection="1">
      <alignment horizontal="center" vertical="center"/>
    </xf>
    <xf numFmtId="0" fontId="18" fillId="11" borderId="8" xfId="0" applyFont="1" applyFill="1" applyBorder="1" applyAlignment="1" applyProtection="1">
      <alignment horizontal="right" vertical="center"/>
    </xf>
    <xf numFmtId="0" fontId="26" fillId="2" borderId="8" xfId="0" applyFont="1" applyFill="1" applyBorder="1" applyAlignment="1" applyProtection="1">
      <alignment horizontal="right" vertical="center"/>
    </xf>
    <xf numFmtId="166" fontId="26" fillId="2" borderId="9" xfId="1" applyFont="1" applyFill="1" applyBorder="1" applyAlignment="1" applyProtection="1">
      <alignment horizontal="center" vertical="center"/>
    </xf>
    <xf numFmtId="0" fontId="26" fillId="2" borderId="30" xfId="0" applyFont="1" applyFill="1" applyBorder="1" applyAlignment="1" applyProtection="1">
      <alignment horizontal="right" vertical="center"/>
    </xf>
    <xf numFmtId="0" fontId="25" fillId="3" borderId="0" xfId="0" applyFont="1" applyFill="1" applyBorder="1" applyAlignment="1" applyProtection="1">
      <alignment horizontal="right" vertical="center"/>
    </xf>
    <xf numFmtId="174" fontId="25" fillId="3" borderId="0" xfId="1" applyNumberFormat="1" applyFont="1" applyFill="1" applyBorder="1" applyAlignment="1" applyProtection="1">
      <alignment horizontal="center" vertical="center"/>
    </xf>
    <xf numFmtId="180" fontId="26" fillId="3" borderId="0" xfId="0" applyNumberFormat="1" applyFont="1" applyFill="1" applyBorder="1" applyProtection="1"/>
    <xf numFmtId="177" fontId="25" fillId="4" borderId="9" xfId="1" applyNumberFormat="1" applyFont="1" applyFill="1" applyBorder="1" applyAlignment="1" applyProtection="1">
      <alignment horizontal="center" vertical="center"/>
    </xf>
    <xf numFmtId="10" fontId="18" fillId="11" borderId="33" xfId="2" applyNumberFormat="1" applyFont="1" applyFill="1" applyBorder="1" applyAlignment="1" applyProtection="1">
      <alignment horizontal="center" vertical="center"/>
      <protection locked="0"/>
    </xf>
    <xf numFmtId="166" fontId="2" fillId="0" borderId="0" xfId="1" applyFont="1" applyBorder="1" applyAlignment="1" applyProtection="1">
      <alignment horizontal="center" vertical="center"/>
      <protection hidden="1"/>
    </xf>
    <xf numFmtId="166" fontId="2" fillId="0" borderId="0" xfId="1" applyFont="1" applyAlignment="1" applyProtection="1">
      <alignment horizontal="center" vertical="center"/>
      <protection hidden="1"/>
    </xf>
    <xf numFmtId="0" fontId="18" fillId="14" borderId="16" xfId="0" applyFont="1" applyFill="1" applyBorder="1" applyAlignment="1" applyProtection="1">
      <alignment horizontal="center" vertical="center"/>
    </xf>
    <xf numFmtId="0" fontId="18" fillId="14" borderId="17" xfId="0" applyFont="1" applyFill="1" applyBorder="1" applyAlignment="1" applyProtection="1">
      <alignment horizontal="center" vertical="center"/>
    </xf>
    <xf numFmtId="0" fontId="27" fillId="3" borderId="0" xfId="0" applyFont="1" applyFill="1" applyBorder="1" applyAlignment="1" applyProtection="1">
      <alignment horizontal="center" wrapText="1"/>
    </xf>
    <xf numFmtId="0" fontId="18" fillId="10" borderId="16" xfId="0" applyFont="1" applyFill="1" applyBorder="1" applyAlignment="1" applyProtection="1">
      <alignment horizontal="center" vertical="center"/>
    </xf>
    <xf numFmtId="0" fontId="18" fillId="10" borderId="17" xfId="0" applyFont="1" applyFill="1" applyBorder="1" applyAlignment="1" applyProtection="1">
      <alignment horizontal="center" vertical="center"/>
    </xf>
    <xf numFmtId="0" fontId="18" fillId="10" borderId="25" xfId="0" applyFont="1" applyFill="1" applyBorder="1" applyAlignment="1" applyProtection="1">
      <alignment horizontal="center" vertical="center"/>
    </xf>
    <xf numFmtId="0" fontId="18" fillId="10" borderId="29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14" fillId="11" borderId="0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2" borderId="15" xfId="0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11" borderId="12" xfId="0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10" fillId="2" borderId="16" xfId="0" applyFont="1" applyFill="1" applyBorder="1" applyAlignment="1" applyProtection="1">
      <alignment horizontal="center" vertical="center"/>
      <protection hidden="1"/>
    </xf>
    <xf numFmtId="0" fontId="10" fillId="2" borderId="17" xfId="0" applyFont="1" applyFill="1" applyBorder="1" applyAlignment="1" applyProtection="1">
      <alignment horizontal="center" vertical="center"/>
      <protection hidden="1"/>
    </xf>
  </cellXfs>
  <cellStyles count="5">
    <cellStyle name="Millares" xfId="1" builtinId="3"/>
    <cellStyle name="Millares 2" xfId="3"/>
    <cellStyle name="Normal" xfId="0" builtinId="0"/>
    <cellStyle name="Normal 2" xfId="4"/>
    <cellStyle name="Porcentaje" xfId="2" builtinId="5"/>
  </cellStyles>
  <dxfs count="0"/>
  <tableStyles count="0" defaultTableStyle="TableStyleMedium9" defaultPivotStyle="PivotStyleLight16"/>
  <colors>
    <mruColors>
      <color rgb="FF666666"/>
      <color rgb="FF494949"/>
      <color rgb="FF8AE28E"/>
      <color rgb="FFD0F4D2"/>
      <color rgb="FF279D2E"/>
      <color rgb="FF25B4BD"/>
      <color rgb="FFE1EDA5"/>
      <color rgb="FFA8C227"/>
      <color rgb="FF0033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329712</xdr:colOff>
      <xdr:row>1</xdr:row>
      <xdr:rowOff>65943</xdr:rowOff>
    </xdr:from>
    <xdr:to>
      <xdr:col>10</xdr:col>
      <xdr:colOff>485847</xdr:colOff>
      <xdr:row>7</xdr:row>
      <xdr:rowOff>139112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0" y="139212"/>
          <a:ext cx="2530059" cy="871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271097</xdr:colOff>
      <xdr:row>1</xdr:row>
      <xdr:rowOff>87923</xdr:rowOff>
    </xdr:from>
    <xdr:to>
      <xdr:col>10</xdr:col>
      <xdr:colOff>427232</xdr:colOff>
      <xdr:row>7</xdr:row>
      <xdr:rowOff>161092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9885" y="161192"/>
          <a:ext cx="2530059" cy="8718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450/Google%20Drive/Banco/FyE/Emisiones/PAE/2021/Calculadora_ON_PA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E"/>
      <sheetName val="Clase 7 USD Linked (Reap.)"/>
      <sheetName val="Clase 8 $ Badlar (Reap.)"/>
      <sheetName val="Clase 8 $ Badlar (Reap.) CANJE"/>
      <sheetName val="Clase 9 USD Linked"/>
      <sheetName val="Badlar"/>
    </sheetNames>
    <sheetDataSet>
      <sheetData sheetId="0"/>
      <sheetData sheetId="1"/>
      <sheetData sheetId="2">
        <row r="5">
          <cell r="E5">
            <v>44239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topLeftCell="A16" zoomScale="130" zoomScaleNormal="130" workbookViewId="0">
      <selection activeCell="D24" sqref="D24"/>
    </sheetView>
  </sheetViews>
  <sheetFormatPr baseColWidth="10" defaultColWidth="11.42578125" defaultRowHeight="12.75" x14ac:dyDescent="0.2"/>
  <cols>
    <col min="1" max="1" width="2.5703125" style="121" customWidth="1"/>
    <col min="2" max="2" width="8.140625" style="121" customWidth="1"/>
    <col min="3" max="3" width="25" style="121" bestFit="1" customWidth="1"/>
    <col min="4" max="4" width="16.42578125" style="121" customWidth="1"/>
    <col min="5" max="5" width="5.28515625" style="121" customWidth="1"/>
    <col min="6" max="6" width="25" style="121" customWidth="1"/>
    <col min="7" max="7" width="18.28515625" style="121" customWidth="1"/>
    <col min="8" max="8" width="12.7109375" style="121" customWidth="1"/>
    <col min="9" max="16384" width="11.42578125" style="121"/>
  </cols>
  <sheetData>
    <row r="1" spans="3:8" ht="6" customHeight="1" thickBot="1" x14ac:dyDescent="0.25"/>
    <row r="2" spans="3:8" ht="12.75" customHeight="1" thickBot="1" x14ac:dyDescent="0.25">
      <c r="C2" s="159" t="s">
        <v>76</v>
      </c>
      <c r="D2" s="160"/>
      <c r="F2" s="159" t="s">
        <v>76</v>
      </c>
      <c r="G2" s="160"/>
    </row>
    <row r="3" spans="3:8" s="122" customFormat="1" x14ac:dyDescent="0.2">
      <c r="C3" s="162" t="s">
        <v>71</v>
      </c>
      <c r="D3" s="163"/>
      <c r="F3" s="162" t="s">
        <v>72</v>
      </c>
      <c r="G3" s="163"/>
    </row>
    <row r="4" spans="3:8" ht="6.75" customHeight="1" x14ac:dyDescent="0.2">
      <c r="C4" s="123"/>
      <c r="D4" s="123"/>
      <c r="F4" s="123"/>
      <c r="G4" s="123"/>
    </row>
    <row r="5" spans="3:8" x14ac:dyDescent="0.2">
      <c r="C5" s="124" t="s">
        <v>36</v>
      </c>
      <c r="D5" s="125">
        <v>44512</v>
      </c>
      <c r="E5" s="126"/>
      <c r="F5" s="124" t="s">
        <v>36</v>
      </c>
      <c r="G5" s="125">
        <f>+D5</f>
        <v>44512</v>
      </c>
      <c r="H5" s="126"/>
    </row>
    <row r="6" spans="3:8" x14ac:dyDescent="0.2">
      <c r="C6" s="127" t="s">
        <v>28</v>
      </c>
      <c r="D6" s="128">
        <f>+EDATE(D5,36)</f>
        <v>45608</v>
      </c>
      <c r="E6" s="126"/>
      <c r="F6" s="129" t="s">
        <v>28</v>
      </c>
      <c r="G6" s="128">
        <f>+D6</f>
        <v>45608</v>
      </c>
      <c r="H6" s="126"/>
    </row>
    <row r="7" spans="3:8" ht="5.25" customHeight="1" x14ac:dyDescent="0.2">
      <c r="C7" s="130"/>
      <c r="D7" s="128"/>
      <c r="E7" s="126"/>
      <c r="F7" s="131"/>
      <c r="G7" s="128"/>
      <c r="H7" s="126"/>
    </row>
    <row r="8" spans="3:8" x14ac:dyDescent="0.2">
      <c r="C8" s="127" t="s">
        <v>9</v>
      </c>
      <c r="D8" s="132">
        <v>0.06</v>
      </c>
      <c r="F8" s="127" t="s">
        <v>9</v>
      </c>
      <c r="G8" s="132">
        <v>4.5999999999999999E-2</v>
      </c>
    </row>
    <row r="9" spans="3:8" hidden="1" x14ac:dyDescent="0.2">
      <c r="C9" s="127" t="s">
        <v>47</v>
      </c>
      <c r="D9" s="132">
        <v>0.01</v>
      </c>
      <c r="F9" s="127" t="s">
        <v>47</v>
      </c>
      <c r="G9" s="132">
        <v>0.01</v>
      </c>
    </row>
    <row r="10" spans="3:8" x14ac:dyDescent="0.2">
      <c r="C10" s="127" t="s">
        <v>37</v>
      </c>
      <c r="D10" s="133">
        <v>100.1433</v>
      </c>
      <c r="F10" s="127" t="s">
        <v>38</v>
      </c>
      <c r="G10" s="133">
        <v>92.68</v>
      </c>
    </row>
    <row r="11" spans="3:8" ht="6.75" customHeight="1" x14ac:dyDescent="0.2">
      <c r="C11" s="130"/>
      <c r="D11" s="132"/>
      <c r="F11" s="130"/>
      <c r="G11" s="132"/>
    </row>
    <row r="12" spans="3:8" x14ac:dyDescent="0.2">
      <c r="C12" s="127" t="s">
        <v>29</v>
      </c>
      <c r="D12" s="134">
        <f>+'Clase XI USD Linked'!E11</f>
        <v>2.6267123287671232</v>
      </c>
      <c r="F12" s="127" t="s">
        <v>29</v>
      </c>
      <c r="G12" s="134">
        <f>+'Clase XII $ UVA'!E12</f>
        <v>2.6267123287671232</v>
      </c>
    </row>
    <row r="13" spans="3:8" ht="12.75" customHeight="1" x14ac:dyDescent="0.2">
      <c r="C13" s="135" t="s">
        <v>30</v>
      </c>
      <c r="D13" s="136">
        <f>+'Clase XI USD Linked'!E12</f>
        <v>2.3378359551757524</v>
      </c>
      <c r="F13" s="135" t="s">
        <v>30</v>
      </c>
      <c r="G13" s="136">
        <f>+'Clase XII $ UVA'!E13</f>
        <v>2.4881466121778724</v>
      </c>
    </row>
    <row r="14" spans="3:8" ht="9" customHeight="1" x14ac:dyDescent="0.2">
      <c r="C14" s="137"/>
    </row>
    <row r="15" spans="3:8" ht="9" customHeight="1" x14ac:dyDescent="0.2">
      <c r="C15" s="137"/>
    </row>
    <row r="16" spans="3:8" s="122" customFormat="1" x14ac:dyDescent="0.2">
      <c r="C16" s="164" t="s">
        <v>62</v>
      </c>
      <c r="D16" s="165"/>
      <c r="F16" s="164" t="s">
        <v>49</v>
      </c>
      <c r="G16" s="165"/>
    </row>
    <row r="17" spans="3:7" x14ac:dyDescent="0.2">
      <c r="C17" s="146" t="s">
        <v>25</v>
      </c>
      <c r="D17" s="147">
        <v>1.0227839999999999</v>
      </c>
      <c r="F17" s="146" t="s">
        <v>25</v>
      </c>
      <c r="G17" s="147">
        <v>1.0176369999999999</v>
      </c>
    </row>
    <row r="18" spans="3:7" x14ac:dyDescent="0.2">
      <c r="C18" s="148" t="s">
        <v>67</v>
      </c>
      <c r="D18" s="119">
        <v>601910</v>
      </c>
      <c r="F18" s="148" t="s">
        <v>67</v>
      </c>
      <c r="G18" s="119">
        <v>3183356</v>
      </c>
    </row>
    <row r="19" spans="3:7" x14ac:dyDescent="0.2">
      <c r="C19" s="149" t="s">
        <v>46</v>
      </c>
      <c r="D19" s="150">
        <f>+ROUND(D18*D17,0)</f>
        <v>615624</v>
      </c>
      <c r="F19" s="149" t="s">
        <v>46</v>
      </c>
      <c r="G19" s="150">
        <f>+ROUND(G18*G17,0)</f>
        <v>3239501</v>
      </c>
    </row>
    <row r="20" spans="3:7" x14ac:dyDescent="0.2">
      <c r="C20" s="151" t="s">
        <v>47</v>
      </c>
      <c r="D20" s="145">
        <v>0.01</v>
      </c>
      <c r="F20" s="151" t="s">
        <v>47</v>
      </c>
      <c r="G20" s="145">
        <v>0.01</v>
      </c>
    </row>
    <row r="21" spans="3:7" x14ac:dyDescent="0.2">
      <c r="C21" s="152"/>
      <c r="D21" s="153"/>
    </row>
    <row r="22" spans="3:7" s="122" customFormat="1" x14ac:dyDescent="0.2">
      <c r="C22" s="164" t="s">
        <v>48</v>
      </c>
      <c r="D22" s="165"/>
      <c r="F22" s="154"/>
      <c r="G22" s="121"/>
    </row>
    <row r="23" spans="3:7" x14ac:dyDescent="0.2">
      <c r="C23" s="146" t="s">
        <v>25</v>
      </c>
      <c r="D23" s="147">
        <v>1.019962</v>
      </c>
    </row>
    <row r="24" spans="3:7" x14ac:dyDescent="0.2">
      <c r="C24" s="148" t="s">
        <v>67</v>
      </c>
      <c r="D24" s="119">
        <v>1000000</v>
      </c>
    </row>
    <row r="25" spans="3:7" x14ac:dyDescent="0.2">
      <c r="C25" s="149" t="s">
        <v>46</v>
      </c>
      <c r="D25" s="150">
        <f>+ROUND(D24*D23,0)</f>
        <v>1019962</v>
      </c>
    </row>
    <row r="26" spans="3:7" x14ac:dyDescent="0.2">
      <c r="C26" s="151" t="s">
        <v>47</v>
      </c>
      <c r="D26" s="145">
        <v>0.01</v>
      </c>
    </row>
    <row r="27" spans="3:7" x14ac:dyDescent="0.2">
      <c r="C27" s="152"/>
      <c r="D27" s="153"/>
      <c r="F27" s="152"/>
      <c r="G27" s="153"/>
    </row>
    <row r="28" spans="3:7" x14ac:dyDescent="0.2">
      <c r="C28" s="164" t="s">
        <v>49</v>
      </c>
      <c r="D28" s="165"/>
    </row>
    <row r="29" spans="3:7" x14ac:dyDescent="0.2">
      <c r="C29" s="146" t="s">
        <v>25</v>
      </c>
      <c r="D29" s="155">
        <v>0.94876400000000005</v>
      </c>
    </row>
    <row r="30" spans="3:7" x14ac:dyDescent="0.2">
      <c r="C30" s="148" t="s">
        <v>67</v>
      </c>
      <c r="D30" s="119">
        <v>1000000</v>
      </c>
    </row>
    <row r="31" spans="3:7" x14ac:dyDescent="0.2">
      <c r="C31" s="149" t="s">
        <v>46</v>
      </c>
      <c r="D31" s="150">
        <f>+ROUND(D30*D29,0)</f>
        <v>948764</v>
      </c>
    </row>
    <row r="32" spans="3:7" x14ac:dyDescent="0.2">
      <c r="C32" s="151" t="s">
        <v>47</v>
      </c>
      <c r="D32" s="145">
        <v>1.4999999999999999E-2</v>
      </c>
    </row>
    <row r="33" spans="2:8" ht="14.25" customHeight="1" x14ac:dyDescent="0.2"/>
    <row r="34" spans="2:8" ht="29.25" customHeight="1" x14ac:dyDescent="0.2">
      <c r="B34" s="161" t="s">
        <v>22</v>
      </c>
      <c r="C34" s="161"/>
      <c r="D34" s="161"/>
      <c r="E34" s="161"/>
      <c r="F34" s="161"/>
      <c r="G34" s="161"/>
      <c r="H34" s="161"/>
    </row>
    <row r="35" spans="2:8" x14ac:dyDescent="0.2">
      <c r="B35" s="161"/>
      <c r="C35" s="161"/>
      <c r="D35" s="161"/>
      <c r="E35" s="161"/>
      <c r="F35" s="161"/>
      <c r="G35" s="161"/>
      <c r="H35" s="161"/>
    </row>
    <row r="36" spans="2:8" x14ac:dyDescent="0.2">
      <c r="B36" s="161"/>
      <c r="C36" s="161"/>
      <c r="D36" s="161"/>
      <c r="E36" s="161"/>
      <c r="F36" s="161"/>
      <c r="G36" s="161"/>
      <c r="H36" s="161"/>
    </row>
  </sheetData>
  <sheetProtection algorithmName="SHA-512" hashValue="6eAu7lwohH25ytPzuDjKzM3ZA1jfXbXLMW8n3rHg4jyDrPnQFhwqDMFfFYdNge4Kj+utE/EB87EyhauwM8SDhQ==" saltValue="AmdUvaGtBwMirbhE6ilrwA==" spinCount="100000" sheet="1" objects="1" scenarios="1" selectLockedCells="1"/>
  <mergeCells count="9">
    <mergeCell ref="C2:D2"/>
    <mergeCell ref="F2:G2"/>
    <mergeCell ref="B34:H36"/>
    <mergeCell ref="C3:D3"/>
    <mergeCell ref="F3:G3"/>
    <mergeCell ref="C16:D16"/>
    <mergeCell ref="C22:D22"/>
    <mergeCell ref="C28:D28"/>
    <mergeCell ref="F16:G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tabSelected="1" topLeftCell="A4" zoomScale="130" zoomScaleNormal="130" workbookViewId="0">
      <selection activeCell="D15" sqref="D15"/>
    </sheetView>
  </sheetViews>
  <sheetFormatPr baseColWidth="10" defaultColWidth="11.42578125" defaultRowHeight="12.75" x14ac:dyDescent="0.2"/>
  <cols>
    <col min="1" max="1" width="2.5703125" style="121" customWidth="1"/>
    <col min="2" max="2" width="8.140625" style="121" customWidth="1"/>
    <col min="3" max="3" width="25" style="121" bestFit="1" customWidth="1"/>
    <col min="4" max="4" width="16.42578125" style="121" customWidth="1"/>
    <col min="5" max="5" width="5.28515625" style="121" customWidth="1"/>
    <col min="6" max="6" width="25" style="121" customWidth="1"/>
    <col min="7" max="7" width="18.28515625" style="121" customWidth="1"/>
    <col min="8" max="8" width="12.7109375" style="121" customWidth="1"/>
    <col min="9" max="16384" width="11.42578125" style="121"/>
  </cols>
  <sheetData>
    <row r="1" spans="3:8" ht="6" customHeight="1" thickBot="1" x14ac:dyDescent="0.25"/>
    <row r="2" spans="3:8" ht="12.75" customHeight="1" thickBot="1" x14ac:dyDescent="0.25">
      <c r="C2" s="159" t="s">
        <v>77</v>
      </c>
      <c r="D2" s="160"/>
      <c r="F2" s="159" t="s">
        <v>77</v>
      </c>
      <c r="G2" s="160"/>
    </row>
    <row r="3" spans="3:8" s="122" customFormat="1" x14ac:dyDescent="0.2">
      <c r="C3" s="162" t="s">
        <v>71</v>
      </c>
      <c r="D3" s="163"/>
      <c r="F3" s="162" t="s">
        <v>72</v>
      </c>
      <c r="G3" s="163"/>
    </row>
    <row r="4" spans="3:8" ht="6.75" customHeight="1" x14ac:dyDescent="0.2">
      <c r="C4" s="123"/>
      <c r="D4" s="123"/>
      <c r="F4" s="123"/>
      <c r="G4" s="123"/>
    </row>
    <row r="5" spans="3:8" x14ac:dyDescent="0.2">
      <c r="C5" s="124" t="s">
        <v>36</v>
      </c>
      <c r="D5" s="125">
        <v>44512</v>
      </c>
      <c r="E5" s="126"/>
      <c r="F5" s="124" t="s">
        <v>36</v>
      </c>
      <c r="G5" s="125">
        <f>+D5</f>
        <v>44512</v>
      </c>
      <c r="H5" s="126"/>
    </row>
    <row r="6" spans="3:8" x14ac:dyDescent="0.2">
      <c r="C6" s="127" t="s">
        <v>28</v>
      </c>
      <c r="D6" s="128">
        <f>+EDATE(D5,36)</f>
        <v>45608</v>
      </c>
      <c r="E6" s="126"/>
      <c r="F6" s="129" t="s">
        <v>28</v>
      </c>
      <c r="G6" s="128">
        <f>+D6</f>
        <v>45608</v>
      </c>
      <c r="H6" s="126"/>
    </row>
    <row r="7" spans="3:8" ht="5.25" customHeight="1" x14ac:dyDescent="0.2">
      <c r="C7" s="130"/>
      <c r="D7" s="128"/>
      <c r="E7" s="126"/>
      <c r="F7" s="131"/>
      <c r="G7" s="128"/>
      <c r="H7" s="126"/>
    </row>
    <row r="8" spans="3:8" x14ac:dyDescent="0.2">
      <c r="C8" s="127" t="s">
        <v>9</v>
      </c>
      <c r="D8" s="132">
        <v>0.06</v>
      </c>
      <c r="F8" s="127" t="s">
        <v>9</v>
      </c>
      <c r="G8" s="132">
        <v>4.5999999999999999E-2</v>
      </c>
    </row>
    <row r="9" spans="3:8" hidden="1" x14ac:dyDescent="0.2">
      <c r="C9" s="127" t="s">
        <v>47</v>
      </c>
      <c r="D9" s="132">
        <v>0.01</v>
      </c>
      <c r="F9" s="127" t="s">
        <v>47</v>
      </c>
      <c r="G9" s="132">
        <v>0.01</v>
      </c>
    </row>
    <row r="10" spans="3:8" x14ac:dyDescent="0.2">
      <c r="C10" s="127" t="s">
        <v>37</v>
      </c>
      <c r="D10" s="133">
        <v>100.1433</v>
      </c>
      <c r="F10" s="127" t="s">
        <v>38</v>
      </c>
      <c r="G10" s="133">
        <v>92.68</v>
      </c>
    </row>
    <row r="11" spans="3:8" ht="6.75" customHeight="1" x14ac:dyDescent="0.2">
      <c r="C11" s="130"/>
      <c r="D11" s="132"/>
      <c r="F11" s="130"/>
      <c r="G11" s="132"/>
    </row>
    <row r="12" spans="3:8" x14ac:dyDescent="0.2">
      <c r="C12" s="127" t="s">
        <v>29</v>
      </c>
      <c r="D12" s="134">
        <f>+'Clase XI USD Linked'!E11</f>
        <v>2.6267123287671232</v>
      </c>
      <c r="F12" s="127" t="s">
        <v>29</v>
      </c>
      <c r="G12" s="134">
        <f>+'Clase XII $ UVA'!E12</f>
        <v>2.6267123287671232</v>
      </c>
    </row>
    <row r="13" spans="3:8" ht="12.75" customHeight="1" x14ac:dyDescent="0.2">
      <c r="C13" s="135" t="s">
        <v>30</v>
      </c>
      <c r="D13" s="136">
        <f>+'Clase XI USD Linked'!E12</f>
        <v>2.3378359551757524</v>
      </c>
      <c r="F13" s="135" t="s">
        <v>30</v>
      </c>
      <c r="G13" s="136">
        <f>+'Clase XII $ UVA'!E13</f>
        <v>2.4881466121778724</v>
      </c>
    </row>
    <row r="14" spans="3:8" ht="9" customHeight="1" x14ac:dyDescent="0.2">
      <c r="C14" s="137"/>
    </row>
    <row r="15" spans="3:8" x14ac:dyDescent="0.2">
      <c r="C15" s="138" t="s">
        <v>16</v>
      </c>
      <c r="D15" s="120">
        <v>1000000</v>
      </c>
      <c r="F15" s="138" t="s">
        <v>43</v>
      </c>
      <c r="G15" s="120">
        <v>100000000</v>
      </c>
    </row>
    <row r="16" spans="3:8" x14ac:dyDescent="0.2">
      <c r="C16" s="139" t="s">
        <v>45</v>
      </c>
      <c r="D16" s="140">
        <f>+D15*D10</f>
        <v>100143300</v>
      </c>
      <c r="F16" s="139" t="s">
        <v>46</v>
      </c>
      <c r="G16" s="140">
        <f>+ROUNDDOWN(G15/G10,0)</f>
        <v>1078981</v>
      </c>
    </row>
    <row r="17" spans="2:8" x14ac:dyDescent="0.2">
      <c r="C17" s="138" t="s">
        <v>18</v>
      </c>
      <c r="D17" s="156">
        <v>1.0388044443449116</v>
      </c>
      <c r="F17" s="138" t="s">
        <v>18</v>
      </c>
      <c r="G17" s="156">
        <v>1.004289485992832</v>
      </c>
    </row>
    <row r="18" spans="2:8" x14ac:dyDescent="0.2">
      <c r="C18" s="142" t="s">
        <v>11</v>
      </c>
      <c r="D18" s="143">
        <f>+'Clase XI USD Linked'!E14</f>
        <v>4.5000001788139357E-2</v>
      </c>
      <c r="F18" s="142" t="s">
        <v>11</v>
      </c>
      <c r="G18" s="143">
        <f>+'Clase XII $ UVA'!E15</f>
        <v>4.4999828934669514E-2</v>
      </c>
    </row>
    <row r="19" spans="2:8" x14ac:dyDescent="0.2">
      <c r="C19" s="144" t="s">
        <v>15</v>
      </c>
      <c r="D19" s="145">
        <f>+'Clase XI USD Linked'!E15</f>
        <v>4.425996372666674E-2</v>
      </c>
      <c r="F19" s="144" t="s">
        <v>15</v>
      </c>
      <c r="G19" s="145">
        <f>((1+G18)^(90/365)-1)*(365/90)</f>
        <v>4.4256454626811832E-2</v>
      </c>
    </row>
    <row r="20" spans="2:8" x14ac:dyDescent="0.2">
      <c r="C20" s="141" t="s">
        <v>78</v>
      </c>
      <c r="D20" s="97">
        <v>4.4999999999999998E-2</v>
      </c>
      <c r="F20" s="141" t="s">
        <v>78</v>
      </c>
      <c r="G20" s="97">
        <v>4.4999999999999998E-2</v>
      </c>
    </row>
    <row r="21" spans="2:8" x14ac:dyDescent="0.2">
      <c r="C21" s="144" t="s">
        <v>18</v>
      </c>
      <c r="D21" s="145">
        <f>+'Clase XI USD Linked'!S18/1000000</f>
        <v>1.0388044443449116</v>
      </c>
      <c r="F21" s="144" t="s">
        <v>18</v>
      </c>
      <c r="G21" s="145">
        <f>+'Clase XII $ UVA'!Q19/G16</f>
        <v>1.004289485992832</v>
      </c>
    </row>
    <row r="22" spans="2:8" ht="9" customHeight="1" x14ac:dyDescent="0.2">
      <c r="C22" s="137"/>
    </row>
    <row r="23" spans="2:8" ht="29.25" customHeight="1" x14ac:dyDescent="0.2">
      <c r="B23" s="161" t="s">
        <v>22</v>
      </c>
      <c r="C23" s="161"/>
      <c r="D23" s="161"/>
      <c r="E23" s="161"/>
      <c r="F23" s="161"/>
      <c r="G23" s="161"/>
      <c r="H23" s="161"/>
    </row>
    <row r="24" spans="2:8" x14ac:dyDescent="0.2">
      <c r="B24" s="161"/>
      <c r="C24" s="161"/>
      <c r="D24" s="161"/>
      <c r="E24" s="161"/>
      <c r="F24" s="161"/>
      <c r="G24" s="161"/>
      <c r="H24" s="161"/>
    </row>
    <row r="25" spans="2:8" x14ac:dyDescent="0.2">
      <c r="B25" s="161"/>
      <c r="C25" s="161"/>
      <c r="D25" s="161"/>
      <c r="E25" s="161"/>
      <c r="F25" s="161"/>
      <c r="G25" s="161"/>
      <c r="H25" s="161"/>
    </row>
  </sheetData>
  <sheetProtection algorithmName="SHA-512" hashValue="tEEwBWM9MVrMa3g/KnQy91BPdVG1+NtVzXqBEIr77f1tdZ1A7esSm3/2pw/irGgTbkYPqhb3tJnJMiZ9cs1X+A==" saltValue="QHK/pFos4swmmN3Fv4rl0g==" spinCount="100000" sheet="1" objects="1" scenarios="1" selectLockedCells="1"/>
  <mergeCells count="5">
    <mergeCell ref="F3:G3"/>
    <mergeCell ref="C3:D3"/>
    <mergeCell ref="B23:H25"/>
    <mergeCell ref="C2:D2"/>
    <mergeCell ref="F2:G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showGridLines="0" topLeftCell="H1" zoomScaleNormal="100" workbookViewId="0">
      <selection activeCell="M27" sqref="M27"/>
    </sheetView>
  </sheetViews>
  <sheetFormatPr baseColWidth="10" defaultColWidth="11.42578125" defaultRowHeight="19.5" customHeight="1" x14ac:dyDescent="0.25"/>
  <cols>
    <col min="1" max="1" width="14.42578125" style="43" customWidth="1"/>
    <col min="2" max="2" width="2.85546875" style="5" customWidth="1"/>
    <col min="3" max="3" width="8.5703125" style="5" customWidth="1"/>
    <col min="4" max="4" width="28.85546875" style="5" bestFit="1" customWidth="1"/>
    <col min="5" max="5" width="10.42578125" style="5" bestFit="1" customWidth="1"/>
    <col min="6" max="6" width="15" style="5" bestFit="1" customWidth="1"/>
    <col min="7" max="7" width="14.140625" style="5" customWidth="1"/>
    <col min="8" max="8" width="15" style="5" customWidth="1"/>
    <col min="9" max="9" width="18.42578125" style="5" bestFit="1" customWidth="1"/>
    <col min="10" max="10" width="15.42578125" style="5" bestFit="1" customWidth="1"/>
    <col min="11" max="11" width="16.42578125" style="5" customWidth="1"/>
    <col min="12" max="12" width="3.7109375" style="5" customWidth="1"/>
    <col min="13" max="13" width="4.5703125" style="5" customWidth="1"/>
    <col min="14" max="14" width="11.42578125" style="5" hidden="1" customWidth="1"/>
    <col min="15" max="15" width="14" style="5" hidden="1" customWidth="1"/>
    <col min="16" max="16" width="14.140625" style="5" hidden="1" customWidth="1"/>
    <col min="17" max="17" width="27.85546875" style="5" hidden="1" customWidth="1"/>
    <col min="18" max="18" width="11.42578125" style="5" hidden="1" customWidth="1"/>
    <col min="19" max="19" width="13.85546875" style="5" hidden="1" customWidth="1"/>
    <col min="20" max="16384" width="11.42578125" style="5"/>
  </cols>
  <sheetData>
    <row r="1" spans="1:16" ht="19.5" customHeight="1" x14ac:dyDescent="0.25">
      <c r="B1" s="168" t="s">
        <v>74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6" ht="19.5" customHeight="1" x14ac:dyDescent="0.25">
      <c r="B2" s="4"/>
      <c r="C2" s="4"/>
      <c r="D2" s="4"/>
      <c r="F2" s="4"/>
      <c r="G2" s="4"/>
      <c r="H2" s="4"/>
      <c r="I2" s="170"/>
      <c r="J2" s="170"/>
      <c r="K2" s="48"/>
      <c r="L2" s="48"/>
    </row>
    <row r="3" spans="1:16" ht="19.5" hidden="1" customHeight="1" x14ac:dyDescent="0.25">
      <c r="B3" s="4"/>
      <c r="C3" s="4"/>
      <c r="D3" s="167" t="s">
        <v>39</v>
      </c>
      <c r="E3" s="167"/>
      <c r="F3" s="4"/>
      <c r="G3" s="4"/>
      <c r="H3" s="4"/>
      <c r="I3" s="48"/>
      <c r="J3" s="48"/>
      <c r="K3" s="48"/>
      <c r="L3" s="48"/>
    </row>
    <row r="4" spans="1:16" ht="19.5" hidden="1" customHeight="1" x14ac:dyDescent="0.25">
      <c r="A4" s="72">
        <f>+E6-E5</f>
        <v>1096</v>
      </c>
      <c r="B4" s="4"/>
      <c r="C4" s="4"/>
      <c r="D4" s="49" t="s">
        <v>21</v>
      </c>
      <c r="E4" s="52">
        <f>+'GEMSA + CTR - NEW MONEY'!D5</f>
        <v>44512</v>
      </c>
      <c r="F4" s="4"/>
      <c r="G4" s="4"/>
      <c r="H4" s="4"/>
      <c r="I4" s="48"/>
      <c r="J4" s="48"/>
      <c r="K4" s="48"/>
      <c r="L4" s="48"/>
    </row>
    <row r="5" spans="1:16" ht="19.5" hidden="1" customHeight="1" x14ac:dyDescent="0.25">
      <c r="A5" s="43">
        <f>+A4/30</f>
        <v>36.533333333333331</v>
      </c>
      <c r="B5" s="4"/>
      <c r="C5" s="4"/>
      <c r="D5" s="49" t="s">
        <v>20</v>
      </c>
      <c r="E5" s="52">
        <f>+E4</f>
        <v>44512</v>
      </c>
      <c r="F5" s="4"/>
      <c r="G5" s="4"/>
      <c r="H5" s="4"/>
      <c r="I5" s="4"/>
      <c r="J5" s="170"/>
      <c r="K5" s="170"/>
      <c r="L5" s="170"/>
    </row>
    <row r="6" spans="1:16" ht="19.5" hidden="1" customHeight="1" x14ac:dyDescent="0.25">
      <c r="B6" s="4"/>
      <c r="C6" s="4"/>
      <c r="D6" s="49" t="s">
        <v>0</v>
      </c>
      <c r="E6" s="52">
        <f>+D30</f>
        <v>45608</v>
      </c>
      <c r="F6" s="4"/>
      <c r="G6" s="4"/>
      <c r="H6" s="4"/>
      <c r="I6" s="4"/>
      <c r="J6" s="4"/>
      <c r="K6" s="4"/>
      <c r="L6" s="4"/>
    </row>
    <row r="7" spans="1:16" ht="19.5" hidden="1" customHeight="1" x14ac:dyDescent="0.25">
      <c r="C7" s="26"/>
      <c r="D7" s="49" t="s">
        <v>1</v>
      </c>
      <c r="E7" s="53" t="s">
        <v>17</v>
      </c>
      <c r="F7" s="4"/>
      <c r="G7" s="4"/>
      <c r="H7" s="16"/>
      <c r="I7" s="16"/>
      <c r="J7" s="4"/>
      <c r="K7" s="4"/>
      <c r="L7" s="4"/>
    </row>
    <row r="8" spans="1:16" ht="19.5" hidden="1" customHeight="1" x14ac:dyDescent="0.25">
      <c r="C8" s="26"/>
      <c r="D8" s="49" t="s">
        <v>2</v>
      </c>
      <c r="E8" s="53">
        <v>365</v>
      </c>
      <c r="F8" s="4"/>
      <c r="G8" s="4"/>
      <c r="H8" s="16"/>
      <c r="I8" s="16"/>
      <c r="J8" s="16"/>
      <c r="K8" s="16"/>
      <c r="L8" s="4"/>
    </row>
    <row r="9" spans="1:16" ht="19.5" hidden="1" customHeight="1" x14ac:dyDescent="0.25">
      <c r="C9" s="26"/>
      <c r="D9" s="54" t="s">
        <v>16</v>
      </c>
      <c r="E9" s="55">
        <f>+'GEMSA + CTR - NEW MONEY'!D15</f>
        <v>1000000</v>
      </c>
      <c r="F9" s="27"/>
      <c r="G9" s="4"/>
      <c r="I9" s="23"/>
    </row>
    <row r="10" spans="1:16" ht="19.5" hidden="1" customHeight="1" x14ac:dyDescent="0.25">
      <c r="C10" s="24"/>
      <c r="D10" s="54" t="s">
        <v>13</v>
      </c>
      <c r="E10" s="6">
        <f>+H20</f>
        <v>0.06</v>
      </c>
      <c r="F10" s="4"/>
      <c r="G10" s="4"/>
      <c r="I10" s="23"/>
      <c r="K10" s="7"/>
    </row>
    <row r="11" spans="1:16" ht="19.5" hidden="1" customHeight="1" x14ac:dyDescent="0.25">
      <c r="D11" s="54" t="s">
        <v>10</v>
      </c>
      <c r="E11" s="56">
        <f>+SUMPRODUCT(A20:A30,F20:F30)/F31/E8</f>
        <v>2.6267123287671232</v>
      </c>
      <c r="F11" s="4"/>
    </row>
    <row r="12" spans="1:16" ht="19.5" hidden="1" customHeight="1" x14ac:dyDescent="0.25">
      <c r="D12" s="54" t="s">
        <v>19</v>
      </c>
      <c r="E12" s="56">
        <f>+SUMPRODUCT(O19:O30,A19:A30)/O18/E8</f>
        <v>2.3378359551757524</v>
      </c>
      <c r="F12" s="4">
        <f>+E12*12</f>
        <v>28.05403146210903</v>
      </c>
      <c r="O12" s="30" t="s">
        <v>12</v>
      </c>
      <c r="P12" s="30"/>
    </row>
    <row r="13" spans="1:16" ht="19.5" hidden="1" customHeight="1" x14ac:dyDescent="0.25">
      <c r="D13" s="57" t="s">
        <v>18</v>
      </c>
      <c r="E13" s="58">
        <f>+'GEMSA + CTR - NEW MONEY'!D17</f>
        <v>1.0388044443449116</v>
      </c>
      <c r="F13" s="4"/>
      <c r="O13" s="30" t="s">
        <v>11</v>
      </c>
      <c r="P13" s="59">
        <f>XIRR(J18:J30,D18:D30)</f>
        <v>4.5000001788139357E-2</v>
      </c>
    </row>
    <row r="14" spans="1:16" ht="19.5" hidden="1" customHeight="1" x14ac:dyDescent="0.25">
      <c r="D14" s="60" t="s">
        <v>11</v>
      </c>
      <c r="E14" s="6">
        <f>+XIRR(J18:J30,D18:D30)</f>
        <v>4.5000001788139357E-2</v>
      </c>
      <c r="F14" s="4"/>
      <c r="I14" s="16"/>
      <c r="J14" s="16"/>
    </row>
    <row r="15" spans="1:16" ht="19.5" hidden="1" customHeight="1" x14ac:dyDescent="0.25">
      <c r="D15" s="60" t="s">
        <v>15</v>
      </c>
      <c r="E15" s="6">
        <f>+NOMINAL(E14,4)</f>
        <v>4.425996372666674E-2</v>
      </c>
      <c r="I15" s="16"/>
      <c r="J15" s="16"/>
      <c r="K15" s="6"/>
    </row>
    <row r="16" spans="1:16" ht="10.5" customHeight="1" x14ac:dyDescent="0.25">
      <c r="M16" s="20"/>
      <c r="N16" s="8"/>
    </row>
    <row r="17" spans="1:19" ht="19.5" customHeight="1" x14ac:dyDescent="0.25">
      <c r="C17" s="61" t="s">
        <v>3</v>
      </c>
      <c r="D17" s="62" t="s">
        <v>24</v>
      </c>
      <c r="E17" s="62" t="s">
        <v>4</v>
      </c>
      <c r="F17" s="62" t="s">
        <v>5</v>
      </c>
      <c r="G17" s="62" t="s">
        <v>14</v>
      </c>
      <c r="H17" s="62" t="s">
        <v>9</v>
      </c>
      <c r="I17" s="62" t="s">
        <v>6</v>
      </c>
      <c r="J17" s="62" t="s">
        <v>7</v>
      </c>
      <c r="M17" s="20"/>
      <c r="N17" s="166" t="s">
        <v>8</v>
      </c>
      <c r="O17" s="166"/>
    </row>
    <row r="18" spans="1:19" ht="19.5" customHeight="1" x14ac:dyDescent="0.25">
      <c r="C18" s="7">
        <v>0</v>
      </c>
      <c r="D18" s="11">
        <f>+E4</f>
        <v>44512</v>
      </c>
      <c r="E18" s="7"/>
      <c r="F18" s="7"/>
      <c r="G18" s="7"/>
      <c r="H18" s="7"/>
      <c r="I18" s="46"/>
      <c r="J18" s="46">
        <f>-E9*E13</f>
        <v>-1038804.4443449116</v>
      </c>
      <c r="M18" s="20"/>
      <c r="N18" s="63">
        <f>(SUM(N20:N30))/E9</f>
        <v>0.5335713164024809</v>
      </c>
      <c r="O18" s="63">
        <f>SUM(O19:O30)</f>
        <v>0.54884919799733001</v>
      </c>
      <c r="P18" s="64" t="e">
        <f>+SUM(P20:P30)</f>
        <v>#REF!</v>
      </c>
      <c r="Q18" s="64" t="e">
        <f>+SUM(Q20:Q30)</f>
        <v>#REF!</v>
      </c>
      <c r="S18" s="157">
        <f>+SUM(S19:S30)</f>
        <v>1038804.4443449116</v>
      </c>
    </row>
    <row r="19" spans="1:19" ht="19.5" customHeight="1" x14ac:dyDescent="0.25">
      <c r="A19" s="73">
        <f t="shared" ref="A19:A30" si="0">+D19-$D$18</f>
        <v>94</v>
      </c>
      <c r="C19" s="7">
        <f>+C18+3</f>
        <v>3</v>
      </c>
      <c r="D19" s="11">
        <v>44606</v>
      </c>
      <c r="E19" s="9">
        <f>+D19-D18</f>
        <v>94</v>
      </c>
      <c r="F19" s="46">
        <f>+G19*$E$9</f>
        <v>0</v>
      </c>
      <c r="G19" s="10">
        <v>0</v>
      </c>
      <c r="H19" s="28">
        <f>+'GEMSA + CTR - NEW MONEY'!$D$8</f>
        <v>0.06</v>
      </c>
      <c r="I19" s="46">
        <f>($E$9-SUM(F18))*H19*(D19-D18)/365</f>
        <v>15452.054794520547</v>
      </c>
      <c r="J19" s="46">
        <f t="shared" ref="J19" si="1">+I19+F19</f>
        <v>15452.054794520547</v>
      </c>
      <c r="M19" s="20"/>
      <c r="N19" s="65">
        <f t="shared" ref="N19" si="2">+J19/((1+$E$14)^(A19/$E$8))</f>
        <v>15277.881594849126</v>
      </c>
      <c r="O19" s="66">
        <f t="shared" ref="O19" si="3">+N19/$E$9</f>
        <v>1.5277881594849127E-2</v>
      </c>
      <c r="P19" s="64"/>
      <c r="Q19" s="64"/>
      <c r="S19" s="5">
        <f>+J19/(1+'GEMSA + CTR - NEW MONEY'!$D$20)^('Clase XI USD Linked'!A19/365)</f>
        <v>15277.881601581734</v>
      </c>
    </row>
    <row r="20" spans="1:19" ht="19.5" customHeight="1" x14ac:dyDescent="0.2">
      <c r="A20" s="73">
        <f t="shared" si="0"/>
        <v>181</v>
      </c>
      <c r="C20" s="7">
        <f t="shared" ref="C20:C30" si="4">+C19+3</f>
        <v>6</v>
      </c>
      <c r="D20" s="11">
        <v>44693</v>
      </c>
      <c r="E20" s="9">
        <f t="shared" ref="E20:E24" si="5">+D20-D19</f>
        <v>87</v>
      </c>
      <c r="F20" s="46">
        <f>+G20*$E$9</f>
        <v>0</v>
      </c>
      <c r="G20" s="10">
        <v>0</v>
      </c>
      <c r="H20" s="28">
        <f>+'GEMSA + CTR - NEW MONEY'!$D$8</f>
        <v>0.06</v>
      </c>
      <c r="I20" s="46">
        <f t="shared" ref="I20:I22" si="6">($E$9-SUM(F19))*H20*(D20-D19)/365</f>
        <v>14301.369863013699</v>
      </c>
      <c r="J20" s="46">
        <f t="shared" ref="J20:J22" si="7">+I20+F20</f>
        <v>14301.369863013699</v>
      </c>
      <c r="M20" s="20"/>
      <c r="N20" s="65">
        <f t="shared" ref="N20:N22" si="8">+J20/((1+$E$14)^(A20/$E$8))</f>
        <v>13992.588198697014</v>
      </c>
      <c r="O20" s="66">
        <f t="shared" ref="O20:O22" si="9">+N20/$E$9</f>
        <v>1.3992588198697014E-2</v>
      </c>
      <c r="P20" s="67" t="e">
        <f>+J20/((1+#REF!)^(A20/365))</f>
        <v>#REF!</v>
      </c>
      <c r="Q20" s="69" t="e">
        <f>+J20/(1+(#REF!)*90/365)^((D20-$D$18)/90)</f>
        <v>#REF!</v>
      </c>
      <c r="S20" s="5">
        <f>+J20/(1+'GEMSA + CTR - NEW MONEY'!$D$20)^('Clase XI USD Linked'!A20/365)</f>
        <v>13992.588210570242</v>
      </c>
    </row>
    <row r="21" spans="1:19" ht="19.5" customHeight="1" x14ac:dyDescent="0.2">
      <c r="A21" s="73">
        <f t="shared" si="0"/>
        <v>273</v>
      </c>
      <c r="C21" s="7">
        <f t="shared" si="4"/>
        <v>9</v>
      </c>
      <c r="D21" s="11">
        <f t="shared" ref="D21:D27" si="10">+EDATE(D20,3)</f>
        <v>44785</v>
      </c>
      <c r="E21" s="9">
        <f t="shared" si="5"/>
        <v>92</v>
      </c>
      <c r="F21" s="46">
        <f t="shared" ref="F21:F22" si="11">+G21*$E$9</f>
        <v>0</v>
      </c>
      <c r="G21" s="10">
        <v>0</v>
      </c>
      <c r="H21" s="28">
        <f>+'GEMSA + CTR - NEW MONEY'!$D$8</f>
        <v>0.06</v>
      </c>
      <c r="I21" s="46">
        <f t="shared" si="6"/>
        <v>15123.287671232876</v>
      </c>
      <c r="J21" s="46">
        <f t="shared" si="7"/>
        <v>15123.287671232876</v>
      </c>
      <c r="M21" s="20"/>
      <c r="N21" s="65">
        <f t="shared" si="8"/>
        <v>14633.502123780512</v>
      </c>
      <c r="O21" s="66">
        <f t="shared" si="9"/>
        <v>1.4633502123780512E-2</v>
      </c>
      <c r="P21" s="67" t="e">
        <f>+J21/((1+#REF!)^(A21/365))</f>
        <v>#REF!</v>
      </c>
      <c r="Q21" s="69" t="e">
        <f>+J21/(1+(#REF!)*90/365)^((D21-$D$18)/90)</f>
        <v>#REF!</v>
      </c>
      <c r="S21" s="5">
        <f>+J21/(1+'GEMSA + CTR - NEW MONEY'!$D$20)^('Clase XI USD Linked'!A21/365)</f>
        <v>14633.502142509018</v>
      </c>
    </row>
    <row r="22" spans="1:19" ht="19.5" customHeight="1" x14ac:dyDescent="0.2">
      <c r="A22" s="73">
        <f t="shared" si="0"/>
        <v>367</v>
      </c>
      <c r="C22" s="7">
        <f t="shared" si="4"/>
        <v>12</v>
      </c>
      <c r="D22" s="11">
        <v>44879</v>
      </c>
      <c r="E22" s="9">
        <f t="shared" si="5"/>
        <v>94</v>
      </c>
      <c r="F22" s="46">
        <f t="shared" si="11"/>
        <v>0</v>
      </c>
      <c r="G22" s="10">
        <v>0</v>
      </c>
      <c r="H22" s="28">
        <f>+'GEMSA + CTR - NEW MONEY'!$D$8</f>
        <v>0.06</v>
      </c>
      <c r="I22" s="46">
        <f t="shared" si="6"/>
        <v>15452.054794520547</v>
      </c>
      <c r="J22" s="46">
        <f t="shared" si="7"/>
        <v>15452.054794520547</v>
      </c>
      <c r="M22" s="20"/>
      <c r="N22" s="65">
        <f t="shared" si="8"/>
        <v>14783.089340445389</v>
      </c>
      <c r="O22" s="66">
        <f t="shared" si="9"/>
        <v>1.478308934044539E-2</v>
      </c>
      <c r="P22" s="67" t="e">
        <f>+J22/((1+#REF!)^(A22/365))</f>
        <v>#REF!</v>
      </c>
      <c r="Q22" s="69" t="e">
        <f>+J22/(1+(#REF!)*90/365)^((D22-$D$18)/90)</f>
        <v>#REF!</v>
      </c>
      <c r="S22" s="5">
        <f>+J22/(1+'GEMSA + CTR - NEW MONEY'!$D$20)^('Clase XI USD Linked'!A22/365)</f>
        <v>14783.089365879907</v>
      </c>
    </row>
    <row r="23" spans="1:19" ht="19.5" customHeight="1" x14ac:dyDescent="0.2">
      <c r="A23" s="73">
        <f t="shared" si="0"/>
        <v>458</v>
      </c>
      <c r="C23" s="7">
        <f t="shared" si="4"/>
        <v>15</v>
      </c>
      <c r="D23" s="11">
        <v>44970</v>
      </c>
      <c r="E23" s="9">
        <f t="shared" si="5"/>
        <v>91</v>
      </c>
      <c r="F23" s="46">
        <f>+G23*$E$9</f>
        <v>0</v>
      </c>
      <c r="G23" s="10">
        <v>0</v>
      </c>
      <c r="H23" s="28">
        <f>+'GEMSA + CTR - NEW MONEY'!$D$8</f>
        <v>0.06</v>
      </c>
      <c r="I23" s="46">
        <f>($E$9-SUM(F20:F22))*H23*(D23-D22)/365</f>
        <v>14958.904109589041</v>
      </c>
      <c r="J23" s="46">
        <f>+I23+F23</f>
        <v>14958.904109589041</v>
      </c>
      <c r="M23" s="20"/>
      <c r="N23" s="65">
        <f>+J23/((1+$E$14)^(A23/$E$8))</f>
        <v>14155.094100104581</v>
      </c>
      <c r="O23" s="66">
        <f t="shared" ref="O23:O30" si="12">+N23/$E$9</f>
        <v>1.4155094100104581E-2</v>
      </c>
      <c r="P23" s="67" t="e">
        <f>+J23/((1+#REF!)^(A23/365))</f>
        <v>#REF!</v>
      </c>
      <c r="Q23" s="69" t="e">
        <f>+J23/(1+(#REF!)*90/365)^((D23-$D$18)/90)</f>
        <v>#REF!</v>
      </c>
      <c r="S23" s="5">
        <f>+J23/(1+'GEMSA + CTR - NEW MONEY'!$D$20)^('Clase XI USD Linked'!A23/365)</f>
        <v>14155.094130497364</v>
      </c>
    </row>
    <row r="24" spans="1:19" ht="19.5" customHeight="1" x14ac:dyDescent="0.2">
      <c r="A24" s="73">
        <f t="shared" si="0"/>
        <v>546</v>
      </c>
      <c r="C24" s="7">
        <f t="shared" si="4"/>
        <v>18</v>
      </c>
      <c r="D24" s="11">
        <v>45058</v>
      </c>
      <c r="E24" s="9">
        <f t="shared" si="5"/>
        <v>88</v>
      </c>
      <c r="F24" s="46">
        <f t="shared" ref="F24" si="13">+G24*$E$9</f>
        <v>0</v>
      </c>
      <c r="G24" s="10">
        <v>0</v>
      </c>
      <c r="H24" s="28">
        <f>+'GEMSA + CTR - NEW MONEY'!$D$8</f>
        <v>0.06</v>
      </c>
      <c r="I24" s="46">
        <f t="shared" ref="I24" si="14">($E$9-SUM(F21:F23))*H24*(D24-D23)/365</f>
        <v>14465.753424657534</v>
      </c>
      <c r="J24" s="46">
        <f t="shared" ref="J24" si="15">+I24+F24</f>
        <v>14465.753424657534</v>
      </c>
      <c r="M24" s="20"/>
      <c r="N24" s="65">
        <f t="shared" ref="N24:N30" si="16">+J24/((1+$E$14)^(A24/$E$8))</f>
        <v>13543.944996736855</v>
      </c>
      <c r="O24" s="66">
        <f t="shared" si="12"/>
        <v>1.3543944996736855E-2</v>
      </c>
      <c r="P24" s="67" t="e">
        <f>+J24/((1+#REF!)^(A24/365))</f>
        <v>#REF!</v>
      </c>
      <c r="Q24" s="69" t="e">
        <f>+J24/(1+(#REF!)*90/365)^((D24-$D$18)/90)</f>
        <v>#REF!</v>
      </c>
      <c r="S24" s="5">
        <f>+J24/(1+'GEMSA + CTR - NEW MONEY'!$D$20)^('Clase XI USD Linked'!A24/365)</f>
        <v>13543.945031404955</v>
      </c>
    </row>
    <row r="25" spans="1:19" ht="19.5" customHeight="1" x14ac:dyDescent="0.2">
      <c r="A25" s="73">
        <f t="shared" si="0"/>
        <v>640</v>
      </c>
      <c r="C25" s="7">
        <f t="shared" si="4"/>
        <v>21</v>
      </c>
      <c r="D25" s="11">
        <v>45152</v>
      </c>
      <c r="E25" s="9">
        <f t="shared" ref="E25:E27" si="17">+D25-D24</f>
        <v>94</v>
      </c>
      <c r="F25" s="46">
        <f t="shared" ref="F25:F27" si="18">+G25*$E$9</f>
        <v>0</v>
      </c>
      <c r="G25" s="10">
        <v>0</v>
      </c>
      <c r="H25" s="28">
        <f>+'GEMSA + CTR - NEW MONEY'!$D$8</f>
        <v>0.06</v>
      </c>
      <c r="I25" s="46">
        <f t="shared" ref="I25:I27" si="19">($E$9-SUM(F22:F24))*H25*(D25-D24)/365</f>
        <v>15452.054794520547</v>
      </c>
      <c r="J25" s="46">
        <f t="shared" ref="J25:J27" si="20">+I25+F25</f>
        <v>15452.054794520547</v>
      </c>
      <c r="M25" s="20"/>
      <c r="N25" s="65"/>
      <c r="O25" s="66"/>
      <c r="P25" s="67"/>
      <c r="Q25" s="69"/>
      <c r="S25" s="5">
        <f>+J25/(1+'GEMSA + CTR - NEW MONEY'!$D$20)^('Clase XI USD Linked'!A25/365)</f>
        <v>14304.321560979106</v>
      </c>
    </row>
    <row r="26" spans="1:19" ht="19.5" customHeight="1" x14ac:dyDescent="0.2">
      <c r="A26" s="73">
        <f t="shared" si="0"/>
        <v>730</v>
      </c>
      <c r="C26" s="7">
        <f t="shared" si="4"/>
        <v>24</v>
      </c>
      <c r="D26" s="11">
        <v>45242</v>
      </c>
      <c r="E26" s="9">
        <f t="shared" si="17"/>
        <v>90</v>
      </c>
      <c r="F26" s="46">
        <f t="shared" si="18"/>
        <v>0</v>
      </c>
      <c r="G26" s="10">
        <v>0</v>
      </c>
      <c r="H26" s="28">
        <f>+'GEMSA + CTR - NEW MONEY'!$D$8</f>
        <v>0.06</v>
      </c>
      <c r="I26" s="46">
        <f t="shared" si="19"/>
        <v>14794.520547945205</v>
      </c>
      <c r="J26" s="46">
        <f t="shared" si="20"/>
        <v>14794.520547945205</v>
      </c>
      <c r="M26" s="20"/>
      <c r="N26" s="65"/>
      <c r="O26" s="66"/>
      <c r="P26" s="67"/>
      <c r="Q26" s="69"/>
      <c r="S26" s="5">
        <f>+J26/(1+'GEMSA + CTR - NEW MONEY'!$D$20)^('Clase XI USD Linked'!A26/365)</f>
        <v>13547.785579950283</v>
      </c>
    </row>
    <row r="27" spans="1:19" ht="19.5" customHeight="1" x14ac:dyDescent="0.2">
      <c r="A27" s="73">
        <f t="shared" si="0"/>
        <v>822</v>
      </c>
      <c r="C27" s="7">
        <f t="shared" si="4"/>
        <v>27</v>
      </c>
      <c r="D27" s="11">
        <f t="shared" si="10"/>
        <v>45334</v>
      </c>
      <c r="E27" s="9">
        <f t="shared" si="17"/>
        <v>92</v>
      </c>
      <c r="F27" s="46">
        <f t="shared" si="18"/>
        <v>250000</v>
      </c>
      <c r="G27" s="10">
        <v>0.25</v>
      </c>
      <c r="H27" s="28">
        <f>+'GEMSA + CTR - NEW MONEY'!$D$8</f>
        <v>0.06</v>
      </c>
      <c r="I27" s="46">
        <f t="shared" si="19"/>
        <v>15123.287671232876</v>
      </c>
      <c r="J27" s="46">
        <f t="shared" si="20"/>
        <v>265123.28767123289</v>
      </c>
      <c r="M27" s="20"/>
      <c r="N27" s="65">
        <f t="shared" si="16"/>
        <v>240102.64336404877</v>
      </c>
      <c r="O27" s="66">
        <f t="shared" si="12"/>
        <v>0.24010264336404877</v>
      </c>
      <c r="P27" s="67" t="e">
        <f>+J27/((1+#REF!)^(A27/365))</f>
        <v>#REF!</v>
      </c>
      <c r="Q27" s="69" t="e">
        <f>+J27/(1+(#REF!)*90/365)^((D27-$D$18)/90)</f>
        <v>#REF!</v>
      </c>
      <c r="S27" s="5">
        <f>+J27/(1+'GEMSA + CTR - NEW MONEY'!$D$20)^('Clase XI USD Linked'!A27/365)</f>
        <v>240102.64428930279</v>
      </c>
    </row>
    <row r="28" spans="1:19" ht="19.5" customHeight="1" x14ac:dyDescent="0.2">
      <c r="A28" s="73">
        <f t="shared" si="0"/>
        <v>913</v>
      </c>
      <c r="C28" s="7">
        <f t="shared" si="4"/>
        <v>30</v>
      </c>
      <c r="D28" s="11">
        <v>45425</v>
      </c>
      <c r="E28" s="9">
        <f t="shared" ref="E28:E30" si="21">+D28-D27</f>
        <v>91</v>
      </c>
      <c r="F28" s="46">
        <f t="shared" ref="F28:F30" si="22">+G28*$E$9</f>
        <v>250000</v>
      </c>
      <c r="G28" s="10">
        <v>0.25</v>
      </c>
      <c r="H28" s="28">
        <f>+'GEMSA + CTR - NEW MONEY'!$D$8</f>
        <v>0.06</v>
      </c>
      <c r="I28" s="46">
        <f t="shared" ref="I28:I30" si="23">($E$9-SUM(F25:F27))*H28*(D28-D27)/365</f>
        <v>11219.17808219178</v>
      </c>
      <c r="J28" s="46">
        <f t="shared" ref="J28:J30" si="24">+I28+F28</f>
        <v>261219.17808219179</v>
      </c>
      <c r="M28" s="20"/>
      <c r="N28" s="65"/>
      <c r="O28" s="66"/>
      <c r="P28" s="67"/>
      <c r="Q28" s="69"/>
      <c r="S28" s="5">
        <f>+J28/(1+'GEMSA + CTR - NEW MONEY'!$D$20)^('Clase XI USD Linked'!A28/365)</f>
        <v>233985.06933024491</v>
      </c>
    </row>
    <row r="29" spans="1:19" ht="19.5" customHeight="1" x14ac:dyDescent="0.2">
      <c r="A29" s="73">
        <f t="shared" si="0"/>
        <v>1004</v>
      </c>
      <c r="C29" s="7">
        <f t="shared" si="4"/>
        <v>33</v>
      </c>
      <c r="D29" s="11">
        <v>45516</v>
      </c>
      <c r="E29" s="9">
        <f t="shared" si="21"/>
        <v>91</v>
      </c>
      <c r="F29" s="46">
        <f t="shared" si="22"/>
        <v>250000</v>
      </c>
      <c r="G29" s="10">
        <v>0.25</v>
      </c>
      <c r="H29" s="28">
        <f>+'GEMSA + CTR - NEW MONEY'!$D$8</f>
        <v>0.06</v>
      </c>
      <c r="I29" s="46">
        <f t="shared" si="23"/>
        <v>7479.4520547945203</v>
      </c>
      <c r="J29" s="46">
        <f t="shared" si="24"/>
        <v>257479.45205479453</v>
      </c>
      <c r="M29" s="20"/>
      <c r="N29" s="65"/>
      <c r="O29" s="66"/>
      <c r="P29" s="67"/>
      <c r="Q29" s="69"/>
      <c r="S29" s="5">
        <f>+J29/(1+'GEMSA + CTR - NEW MONEY'!$D$20)^('Clase XI USD Linked'!A29/365)</f>
        <v>228118.06768081253</v>
      </c>
    </row>
    <row r="30" spans="1:19" ht="19.5" customHeight="1" x14ac:dyDescent="0.2">
      <c r="A30" s="73">
        <f t="shared" si="0"/>
        <v>1096</v>
      </c>
      <c r="C30" s="7">
        <f t="shared" si="4"/>
        <v>36</v>
      </c>
      <c r="D30" s="11">
        <f t="shared" ref="D30" si="25">+EDATE(D29,3)</f>
        <v>45608</v>
      </c>
      <c r="E30" s="9">
        <f t="shared" si="21"/>
        <v>92</v>
      </c>
      <c r="F30" s="46">
        <f t="shared" si="22"/>
        <v>250000</v>
      </c>
      <c r="G30" s="10">
        <v>0.25</v>
      </c>
      <c r="H30" s="28">
        <f>+'GEMSA + CTR - NEW MONEY'!$D$8</f>
        <v>0.06</v>
      </c>
      <c r="I30" s="46">
        <f t="shared" si="23"/>
        <v>3780.821917808219</v>
      </c>
      <c r="J30" s="46">
        <f t="shared" si="24"/>
        <v>253780.82191780821</v>
      </c>
      <c r="M30" s="20"/>
      <c r="N30" s="65">
        <f t="shared" si="16"/>
        <v>222360.45427866784</v>
      </c>
      <c r="O30" s="66">
        <f t="shared" si="12"/>
        <v>0.22236045427866782</v>
      </c>
      <c r="P30" s="67" t="e">
        <f>+J30/((1+#REF!)^(A30/365))</f>
        <v>#REF!</v>
      </c>
      <c r="Q30" s="69" t="e">
        <f>+J30/(1+(#REF!)*90/365)^((D30-$D$18)/90)</f>
        <v>#REF!</v>
      </c>
      <c r="S30" s="5">
        <f>+J30/(1+'GEMSA + CTR - NEW MONEY'!$D$20)^('Clase XI USD Linked'!A30/365)</f>
        <v>222360.45542117869</v>
      </c>
    </row>
    <row r="31" spans="1:19" ht="19.5" customHeight="1" x14ac:dyDescent="0.25">
      <c r="C31" s="111"/>
      <c r="D31" s="112"/>
      <c r="E31" s="113">
        <f>+SUM(E18:E30)</f>
        <v>1096</v>
      </c>
      <c r="F31" s="113">
        <f>+SUM(F20:F30)</f>
        <v>1000000</v>
      </c>
      <c r="G31" s="113">
        <f t="shared" ref="G31" si="26">+SUM(G20:G30)</f>
        <v>1</v>
      </c>
      <c r="H31" s="113"/>
      <c r="I31" s="113">
        <f>+SUM(I19:I30)</f>
        <v>157602.73972602742</v>
      </c>
      <c r="J31" s="113">
        <f>+SUM(J19:J30)</f>
        <v>1157602.7397260275</v>
      </c>
      <c r="K31" s="30"/>
      <c r="M31" s="20"/>
      <c r="N31" s="20"/>
      <c r="O31" s="68" t="e">
        <f>SUM(#REF!)</f>
        <v>#REF!</v>
      </c>
    </row>
    <row r="32" spans="1:19" ht="19.5" customHeight="1" x14ac:dyDescent="0.25">
      <c r="D32" s="13"/>
      <c r="H32" s="12"/>
      <c r="M32" s="20"/>
      <c r="N32" s="20"/>
      <c r="O32" s="20"/>
    </row>
    <row r="33" spans="2:13" ht="19.5" customHeight="1" x14ac:dyDescent="0.25">
      <c r="B33" s="171" t="s">
        <v>22</v>
      </c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20"/>
    </row>
    <row r="34" spans="2:13" ht="19.5" customHeight="1" x14ac:dyDescent="0.25"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</row>
    <row r="35" spans="2:13" ht="19.5" customHeight="1" x14ac:dyDescent="0.25">
      <c r="B35" s="169"/>
      <c r="C35" s="169"/>
      <c r="D35" s="169"/>
    </row>
  </sheetData>
  <sheetProtection algorithmName="SHA-512" hashValue="oAyNEHSRa8FEgB1GyD5ZIznMdqu2AF+Pe6lImH2UjcrvChfEocGgDIVNUNmoxGasqL5GQMJqZbgKLo9uVtFOiA==" saltValue="Vp8VIi3Zaf6dsFH836VZGA==" spinCount="100000" sheet="1" objects="1" scenarios="1" selectLockedCells="1" selectUnlockedCells="1"/>
  <protectedRanges>
    <protectedRange sqref="G8" name="Rango1"/>
  </protectedRanges>
  <mergeCells count="7">
    <mergeCell ref="N17:O17"/>
    <mergeCell ref="D3:E3"/>
    <mergeCell ref="B1:L1"/>
    <mergeCell ref="B35:D35"/>
    <mergeCell ref="I2:J2"/>
    <mergeCell ref="J5:L5"/>
    <mergeCell ref="B33:L34"/>
  </mergeCells>
  <pageMargins left="0.24" right="0.33" top="0.75" bottom="0.75" header="0.3" footer="0.3"/>
  <pageSetup paperSize="9" scale="94" orientation="landscape" r:id="rId1"/>
  <ignoredErrors>
    <ignoredError sqref="G3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showGridLines="0" zoomScaleNormal="100" workbookViewId="0">
      <selection activeCell="G25" sqref="G25"/>
    </sheetView>
  </sheetViews>
  <sheetFormatPr baseColWidth="10" defaultColWidth="11.42578125" defaultRowHeight="19.5" customHeight="1" x14ac:dyDescent="0.25"/>
  <cols>
    <col min="1" max="1" width="12.140625" style="41" customWidth="1"/>
    <col min="2" max="2" width="2.85546875" style="3" customWidth="1"/>
    <col min="3" max="3" width="9.28515625" style="3" customWidth="1"/>
    <col min="4" max="4" width="33.5703125" style="3" customWidth="1"/>
    <col min="5" max="5" width="21" style="3" customWidth="1"/>
    <col min="6" max="6" width="16.7109375" style="3" bestFit="1" customWidth="1"/>
    <col min="7" max="7" width="16" style="3" customWidth="1"/>
    <col min="8" max="8" width="15" style="3" customWidth="1"/>
    <col min="9" max="9" width="18.42578125" style="3" bestFit="1" customWidth="1"/>
    <col min="10" max="10" width="15.85546875" style="3" bestFit="1" customWidth="1"/>
    <col min="11" max="11" width="2.140625" style="3" customWidth="1"/>
    <col min="12" max="12" width="3.7109375" style="3" customWidth="1"/>
    <col min="13" max="13" width="4.5703125" style="3" customWidth="1"/>
    <col min="14" max="14" width="11.42578125" style="3" hidden="1" customWidth="1"/>
    <col min="15" max="15" width="14" style="3" hidden="1" customWidth="1"/>
    <col min="16" max="16" width="14.140625" style="3" hidden="1" customWidth="1"/>
    <col min="17" max="17" width="27.85546875" style="3" customWidth="1"/>
    <col min="18" max="18" width="14.85546875" style="3" customWidth="1"/>
    <col min="19" max="16384" width="11.42578125" style="3"/>
  </cols>
  <sheetData>
    <row r="1" spans="1:16" ht="19.5" customHeight="1" thickBot="1" x14ac:dyDescent="0.3">
      <c r="B1" s="180" t="s">
        <v>75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6" ht="19.5" customHeight="1" x14ac:dyDescent="0.25">
      <c r="A2" s="42"/>
      <c r="B2" s="4"/>
      <c r="C2" s="4"/>
      <c r="D2" s="4"/>
      <c r="E2" s="5"/>
      <c r="F2" s="4"/>
      <c r="G2" s="4"/>
      <c r="H2" s="4"/>
      <c r="I2" s="170"/>
      <c r="J2" s="170"/>
      <c r="K2" s="44"/>
      <c r="L2" s="44"/>
      <c r="M2" s="15"/>
      <c r="N2" s="5"/>
    </row>
    <row r="3" spans="1:16" ht="19.5" hidden="1" customHeight="1" x14ac:dyDescent="0.25">
      <c r="A3" s="42"/>
      <c r="B3" s="4"/>
      <c r="C3" s="4"/>
      <c r="D3" s="182" t="s">
        <v>41</v>
      </c>
      <c r="E3" s="183"/>
      <c r="F3" s="4"/>
      <c r="G3" s="4"/>
      <c r="H3" s="4"/>
      <c r="I3" s="44"/>
      <c r="J3" s="44"/>
      <c r="K3" s="44"/>
      <c r="L3" s="44"/>
      <c r="M3" s="15"/>
      <c r="N3" s="5"/>
    </row>
    <row r="4" spans="1:16" ht="19.5" hidden="1" customHeight="1" x14ac:dyDescent="0.25">
      <c r="A4" s="42"/>
      <c r="B4" s="4"/>
      <c r="C4" s="4"/>
      <c r="D4" s="49" t="s">
        <v>21</v>
      </c>
      <c r="E4" s="52">
        <f>+'GEMSA + CTR - NEW MONEY'!D5</f>
        <v>44512</v>
      </c>
      <c r="F4" s="4"/>
      <c r="G4" s="50"/>
      <c r="H4" s="51"/>
      <c r="I4" s="44"/>
      <c r="J4" s="44"/>
      <c r="K4" s="44"/>
      <c r="L4" s="44"/>
      <c r="M4" s="15"/>
      <c r="N4" s="5"/>
    </row>
    <row r="5" spans="1:16" ht="19.5" hidden="1" customHeight="1" x14ac:dyDescent="0.25">
      <c r="A5" s="42"/>
      <c r="B5" s="4"/>
      <c r="C5" s="4"/>
      <c r="D5" s="49" t="s">
        <v>20</v>
      </c>
      <c r="E5" s="52">
        <f>+E4</f>
        <v>44512</v>
      </c>
      <c r="F5" s="4"/>
      <c r="G5" s="50"/>
      <c r="H5" s="51"/>
      <c r="I5" s="4"/>
      <c r="J5" s="170"/>
      <c r="K5" s="170"/>
      <c r="L5" s="170"/>
      <c r="M5" s="15"/>
      <c r="N5" s="5"/>
    </row>
    <row r="6" spans="1:16" ht="19.5" hidden="1" customHeight="1" x14ac:dyDescent="0.25">
      <c r="A6" s="47">
        <f>+E6-E5</f>
        <v>1004</v>
      </c>
      <c r="B6" s="4"/>
      <c r="C6" s="4"/>
      <c r="D6" s="49" t="s">
        <v>0</v>
      </c>
      <c r="E6" s="52">
        <f>+D30</f>
        <v>45516</v>
      </c>
      <c r="F6" s="4"/>
      <c r="G6" s="4"/>
      <c r="H6" s="4"/>
      <c r="I6" s="4"/>
      <c r="J6" s="4"/>
      <c r="K6" s="4"/>
      <c r="L6" s="4"/>
      <c r="M6" s="15"/>
      <c r="N6" s="5"/>
    </row>
    <row r="7" spans="1:16" ht="19.5" hidden="1" customHeight="1" x14ac:dyDescent="0.25">
      <c r="A7" s="42"/>
      <c r="B7" s="5"/>
      <c r="C7" s="26"/>
      <c r="D7" s="31" t="s">
        <v>1</v>
      </c>
      <c r="E7" s="32" t="s">
        <v>40</v>
      </c>
      <c r="F7" s="4"/>
      <c r="G7" s="4"/>
      <c r="H7" s="16"/>
      <c r="I7" s="16"/>
      <c r="J7" s="4"/>
      <c r="K7" s="4"/>
      <c r="L7" s="4"/>
      <c r="M7" s="15"/>
      <c r="N7" s="5"/>
    </row>
    <row r="8" spans="1:16" ht="19.5" hidden="1" customHeight="1" x14ac:dyDescent="0.25">
      <c r="A8" s="42"/>
      <c r="C8" s="26"/>
      <c r="D8" s="33" t="s">
        <v>2</v>
      </c>
      <c r="E8" s="34">
        <v>365</v>
      </c>
      <c r="F8" s="4"/>
      <c r="G8" s="4"/>
      <c r="H8" s="16"/>
      <c r="I8" s="16"/>
      <c r="J8" s="16"/>
      <c r="K8" s="16"/>
      <c r="L8" s="4"/>
      <c r="M8" s="15"/>
      <c r="N8" s="5"/>
    </row>
    <row r="9" spans="1:16" ht="19.5" hidden="1" customHeight="1" x14ac:dyDescent="0.25">
      <c r="A9" s="42">
        <f>+A6/30</f>
        <v>33.466666666666669</v>
      </c>
      <c r="C9" s="26"/>
      <c r="D9" s="35" t="s">
        <v>43</v>
      </c>
      <c r="E9" s="37">
        <f>+'GEMSA + CTR - NEW MONEY'!G15</f>
        <v>100000000</v>
      </c>
      <c r="F9" s="27"/>
      <c r="G9" s="4"/>
      <c r="I9" s="23"/>
      <c r="L9" s="5"/>
      <c r="M9" s="15"/>
      <c r="N9" s="5"/>
    </row>
    <row r="10" spans="1:16" ht="19.5" hidden="1" customHeight="1" x14ac:dyDescent="0.25">
      <c r="A10" s="42"/>
      <c r="C10" s="26"/>
      <c r="D10" s="35" t="s">
        <v>44</v>
      </c>
      <c r="E10" s="37">
        <f>+E9/'GEMSA + CTR - NEW MONEY'!G10</f>
        <v>1078981.4415192057</v>
      </c>
      <c r="F10" s="27"/>
      <c r="G10" s="4"/>
      <c r="I10" s="23"/>
      <c r="L10" s="5"/>
      <c r="M10" s="15"/>
      <c r="N10" s="5"/>
    </row>
    <row r="11" spans="1:16" ht="19.5" hidden="1" customHeight="1" x14ac:dyDescent="0.25">
      <c r="A11" s="42"/>
      <c r="B11" s="5"/>
      <c r="C11" s="24"/>
      <c r="D11" s="35" t="s">
        <v>42</v>
      </c>
      <c r="E11" s="36">
        <f>+'GEMSA + CTR - NEW MONEY'!G17</f>
        <v>1.004289485992832</v>
      </c>
      <c r="F11" s="4"/>
      <c r="G11" s="4"/>
      <c r="I11" s="23"/>
      <c r="K11" s="7"/>
      <c r="L11" s="5"/>
      <c r="M11" s="15"/>
      <c r="N11" s="5"/>
    </row>
    <row r="12" spans="1:16" ht="19.5" hidden="1" customHeight="1" x14ac:dyDescent="0.25">
      <c r="A12" s="42"/>
      <c r="B12" s="5"/>
      <c r="C12" s="5"/>
      <c r="D12" s="35" t="s">
        <v>10</v>
      </c>
      <c r="E12" s="37">
        <f>+SUMPRODUCT(A20:A31,F20:F31)/F32/E8</f>
        <v>2.6267123287671232</v>
      </c>
      <c r="F12" s="4">
        <f>+E13*12</f>
        <v>29.857759346134468</v>
      </c>
      <c r="L12" s="5"/>
      <c r="M12" s="15"/>
      <c r="N12" s="5"/>
    </row>
    <row r="13" spans="1:16" ht="19.5" hidden="1" customHeight="1" x14ac:dyDescent="0.25">
      <c r="A13" s="42"/>
      <c r="B13" s="5"/>
      <c r="C13" s="5"/>
      <c r="D13" s="35" t="s">
        <v>19</v>
      </c>
      <c r="E13" s="37">
        <f>+SUMPRODUCT(O20:O31,A20:A31)/O19/E8</f>
        <v>2.4881466121778724</v>
      </c>
      <c r="F13" s="4"/>
      <c r="L13" s="5"/>
      <c r="M13" s="15"/>
      <c r="N13" s="5"/>
      <c r="O13" s="17" t="s">
        <v>12</v>
      </c>
      <c r="P13" s="17"/>
    </row>
    <row r="14" spans="1:16" ht="19.5" hidden="1" customHeight="1" x14ac:dyDescent="0.25">
      <c r="A14" s="42"/>
      <c r="B14" s="5"/>
      <c r="C14" s="5"/>
      <c r="D14" s="40" t="s">
        <v>18</v>
      </c>
      <c r="E14" s="39">
        <f>+'GEMSA + CTR - NEW MONEY'!G17</f>
        <v>1.004289485992832</v>
      </c>
      <c r="F14" s="4"/>
      <c r="L14" s="5"/>
      <c r="M14" s="15"/>
      <c r="N14" s="5"/>
      <c r="O14" s="17" t="s">
        <v>11</v>
      </c>
      <c r="P14" s="18">
        <f>XIRR(J19:J31,D19:D31)</f>
        <v>4.4999828934669514E-2</v>
      </c>
    </row>
    <row r="15" spans="1:16" ht="19.5" hidden="1" customHeight="1" x14ac:dyDescent="0.25">
      <c r="A15" s="42"/>
      <c r="B15" s="5"/>
      <c r="C15" s="5"/>
      <c r="D15" s="38" t="s">
        <v>11</v>
      </c>
      <c r="E15" s="36">
        <f>+XIRR(J19:J31,D19:D31)</f>
        <v>4.4999828934669514E-2</v>
      </c>
      <c r="F15" s="4"/>
      <c r="I15" s="16"/>
      <c r="J15" s="16"/>
      <c r="L15" s="5"/>
      <c r="M15" s="15"/>
      <c r="N15" s="5"/>
      <c r="O15" s="3" t="s">
        <v>31</v>
      </c>
      <c r="P15" s="80">
        <f>+H20-0.04</f>
        <v>5.9999999999999984E-3</v>
      </c>
    </row>
    <row r="16" spans="1:16" ht="19.5" hidden="1" customHeight="1" x14ac:dyDescent="0.25">
      <c r="A16" s="42"/>
      <c r="B16" s="5"/>
      <c r="C16" s="5"/>
      <c r="D16" s="38" t="s">
        <v>15</v>
      </c>
      <c r="E16" s="36">
        <f>+NOMINAL(E15,4)</f>
        <v>4.4259796486377567E-2</v>
      </c>
      <c r="F16" s="71"/>
      <c r="I16" s="16"/>
      <c r="J16" s="16"/>
      <c r="K16" s="6"/>
      <c r="L16" s="5"/>
      <c r="M16" s="15"/>
      <c r="N16" s="5"/>
    </row>
    <row r="17" spans="1:19" ht="19.5" customHeight="1" x14ac:dyDescent="0.25">
      <c r="A17" s="42"/>
      <c r="B17" s="5"/>
      <c r="C17" s="5"/>
      <c r="D17" s="5"/>
      <c r="E17" s="5"/>
      <c r="F17" s="5"/>
      <c r="G17" s="5"/>
      <c r="H17" s="5"/>
      <c r="I17" s="5"/>
      <c r="J17" s="5"/>
      <c r="K17" s="43"/>
      <c r="L17" s="41"/>
      <c r="M17" s="74"/>
      <c r="N17" s="72"/>
      <c r="O17" s="41"/>
      <c r="Q17" s="41"/>
      <c r="R17" s="41"/>
      <c r="S17" s="41"/>
    </row>
    <row r="18" spans="1:19" ht="19.5" customHeight="1" thickBot="1" x14ac:dyDescent="0.3">
      <c r="A18" s="42"/>
      <c r="B18" s="5"/>
      <c r="C18" s="1" t="s">
        <v>3</v>
      </c>
      <c r="D18" s="2" t="s">
        <v>24</v>
      </c>
      <c r="E18" s="2" t="s">
        <v>4</v>
      </c>
      <c r="F18" s="2" t="s">
        <v>5</v>
      </c>
      <c r="G18" s="2" t="s">
        <v>14</v>
      </c>
      <c r="H18" s="2" t="s">
        <v>23</v>
      </c>
      <c r="I18" s="2" t="s">
        <v>6</v>
      </c>
      <c r="J18" s="2" t="s">
        <v>7</v>
      </c>
      <c r="K18" s="43"/>
      <c r="L18" s="41"/>
      <c r="M18" s="74"/>
      <c r="N18" s="172" t="s">
        <v>8</v>
      </c>
      <c r="O18" s="173"/>
      <c r="Q18" s="41"/>
      <c r="R18" s="41"/>
      <c r="S18" s="41"/>
    </row>
    <row r="19" spans="1:19" ht="19.5" customHeight="1" thickTop="1" x14ac:dyDescent="0.25">
      <c r="A19" s="42"/>
      <c r="B19" s="5"/>
      <c r="C19" s="7">
        <v>0</v>
      </c>
      <c r="D19" s="11">
        <f>+E5</f>
        <v>44512</v>
      </c>
      <c r="E19" s="7"/>
      <c r="F19" s="7"/>
      <c r="G19" s="7"/>
      <c r="H19" s="7"/>
      <c r="I19" s="46"/>
      <c r="J19" s="46">
        <f>-E10*E14</f>
        <v>-1083609.717299128</v>
      </c>
      <c r="K19" s="43"/>
      <c r="L19" s="41"/>
      <c r="M19" s="74"/>
      <c r="N19" s="21">
        <f>(SUM(N20:N31))/E9</f>
        <v>1.0836097152475965E-2</v>
      </c>
      <c r="O19" s="22">
        <f>SUM(O20:O31)</f>
        <v>1.0836097152475965E-2</v>
      </c>
      <c r="P19" s="29" t="e">
        <f>+SUM(P20:P31)</f>
        <v>#REF!</v>
      </c>
      <c r="Q19" s="158">
        <f>+SUM(Q20:Q31)</f>
        <v>1083609.2738860319</v>
      </c>
      <c r="R19" s="41"/>
      <c r="S19" s="41"/>
    </row>
    <row r="20" spans="1:19" ht="19.5" customHeight="1" x14ac:dyDescent="0.25">
      <c r="A20" s="45">
        <f>+D20-$D$19</f>
        <v>94</v>
      </c>
      <c r="B20" s="5"/>
      <c r="C20" s="7">
        <f>+C19+3</f>
        <v>3</v>
      </c>
      <c r="D20" s="11">
        <v>44606</v>
      </c>
      <c r="E20" s="9">
        <f>+D20-D19</f>
        <v>94</v>
      </c>
      <c r="F20" s="46">
        <f>+G20*$E$9</f>
        <v>0</v>
      </c>
      <c r="G20" s="10">
        <v>0</v>
      </c>
      <c r="H20" s="70">
        <f>+'GEMSA + CTR - NEW MONEY'!$G$8</f>
        <v>4.5999999999999999E-2</v>
      </c>
      <c r="I20" s="46">
        <f>+H20/$E$8*(D20-D19)*$E$10</f>
        <v>12782.234940079574</v>
      </c>
      <c r="J20" s="46">
        <f t="shared" ref="J20" si="0">+I20+F20</f>
        <v>12782.234940079574</v>
      </c>
      <c r="K20" s="43">
        <v>94057.363013698632</v>
      </c>
      <c r="L20" s="41"/>
      <c r="M20" s="74"/>
      <c r="N20" s="77">
        <f>+J20/((1+$E$15)^(A20/$E$8))</f>
        <v>12638.15608007332</v>
      </c>
      <c r="O20" s="78">
        <f>+N20/$E$9</f>
        <v>1.263815608007332E-4</v>
      </c>
      <c r="P20" s="25" t="e">
        <f>+J20/((1+(#REF!))^(A20/365))</f>
        <v>#REF!</v>
      </c>
      <c r="Q20" s="158">
        <f>+J20/(1+'GEMSA + CTR - NEW MONEY'!$G$20)^('Clase XII $ UVA'!A20/365)</f>
        <v>12638.155547273045</v>
      </c>
      <c r="R20" s="75">
        <f>K20-I20</f>
        <v>81275.128073619053</v>
      </c>
      <c r="S20" s="41"/>
    </row>
    <row r="21" spans="1:19" ht="19.5" customHeight="1" x14ac:dyDescent="0.25">
      <c r="A21" s="45">
        <f t="shared" ref="A21:A31" si="1">+D21-$D$19</f>
        <v>181</v>
      </c>
      <c r="B21" s="5"/>
      <c r="C21" s="7">
        <f t="shared" ref="C21:C26" si="2">+C20+3</f>
        <v>6</v>
      </c>
      <c r="D21" s="11">
        <v>44693</v>
      </c>
      <c r="E21" s="9">
        <f t="shared" ref="E21:E31" si="3">+D21-D20</f>
        <v>87</v>
      </c>
      <c r="F21" s="46">
        <f t="shared" ref="F21:F23" si="4">+G21*$E$9</f>
        <v>0</v>
      </c>
      <c r="G21" s="10">
        <v>0</v>
      </c>
      <c r="H21" s="70">
        <f>+'GEMSA + CTR - NEW MONEY'!$G$8</f>
        <v>4.5999999999999999E-2</v>
      </c>
      <c r="I21" s="46">
        <f t="shared" ref="I21:I23" si="5">+H21/$E$8*(D21-D20)*$E$10</f>
        <v>11830.366380711948</v>
      </c>
      <c r="J21" s="46">
        <f t="shared" ref="J21:J26" si="6">+I21+F21</f>
        <v>11830.366380711948</v>
      </c>
      <c r="K21" s="43">
        <v>96095.890410958906</v>
      </c>
      <c r="L21" s="41"/>
      <c r="M21" s="74"/>
      <c r="N21" s="77">
        <f t="shared" ref="N21:N31" si="7">+J21/((1+$E$15)^(A21/$E$8))</f>
        <v>11574.937238101695</v>
      </c>
      <c r="O21" s="78">
        <f t="shared" ref="O21:O31" si="8">+N21/$E$9</f>
        <v>1.1574937238101695E-4</v>
      </c>
      <c r="P21" s="25" t="e">
        <f>+J21/((1+(#REF!))^(A21/365))</f>
        <v>#REF!</v>
      </c>
      <c r="Q21" s="158">
        <f>+J21/(1+'GEMSA + CTR - NEW MONEY'!$G$20)^('Clase XII $ UVA'!A21/365)</f>
        <v>11574.936298486387</v>
      </c>
      <c r="R21" s="75">
        <f t="shared" ref="R21:R31" si="9">K21-I21</f>
        <v>84265.524030246961</v>
      </c>
      <c r="S21" s="41"/>
    </row>
    <row r="22" spans="1:19" ht="19.5" customHeight="1" x14ac:dyDescent="0.25">
      <c r="A22" s="45">
        <f t="shared" si="1"/>
        <v>273</v>
      </c>
      <c r="B22" s="5"/>
      <c r="C22" s="7">
        <f t="shared" si="2"/>
        <v>9</v>
      </c>
      <c r="D22" s="11">
        <f t="shared" ref="D22:D28" si="10">+EDATE(D21,3)</f>
        <v>44785</v>
      </c>
      <c r="E22" s="9">
        <f t="shared" si="3"/>
        <v>92</v>
      </c>
      <c r="F22" s="46">
        <f t="shared" si="4"/>
        <v>0</v>
      </c>
      <c r="G22" s="10">
        <v>0</v>
      </c>
      <c r="H22" s="70">
        <f>+'GEMSA + CTR - NEW MONEY'!$G$8</f>
        <v>4.5999999999999999E-2</v>
      </c>
      <c r="I22" s="46">
        <f t="shared" si="5"/>
        <v>12510.272494545967</v>
      </c>
      <c r="J22" s="46">
        <f t="shared" si="6"/>
        <v>12510.272494545967</v>
      </c>
      <c r="K22" s="43">
        <v>96095.890410958906</v>
      </c>
      <c r="L22" s="41"/>
      <c r="M22" s="74"/>
      <c r="N22" s="77">
        <f t="shared" si="7"/>
        <v>12105.114029875864</v>
      </c>
      <c r="O22" s="78">
        <f t="shared" si="8"/>
        <v>1.2105114029875863E-4</v>
      </c>
      <c r="P22" s="25" t="e">
        <f>+J22/((1+(#REF!))^(A22/365))</f>
        <v>#REF!</v>
      </c>
      <c r="Q22" s="158">
        <f>+J22/(1+'GEMSA + CTR - NEW MONEY'!$G$20)^('Clase XII $ UVA'!A22/365)</f>
        <v>12105.112547752386</v>
      </c>
      <c r="R22" s="75">
        <f t="shared" si="9"/>
        <v>83585.617916412943</v>
      </c>
      <c r="S22" s="41"/>
    </row>
    <row r="23" spans="1:19" ht="19.5" customHeight="1" x14ac:dyDescent="0.25">
      <c r="A23" s="45">
        <f t="shared" si="1"/>
        <v>367</v>
      </c>
      <c r="B23" s="5"/>
      <c r="C23" s="7">
        <f t="shared" si="2"/>
        <v>12</v>
      </c>
      <c r="D23" s="11">
        <v>44879</v>
      </c>
      <c r="E23" s="9">
        <f t="shared" si="3"/>
        <v>94</v>
      </c>
      <c r="F23" s="46">
        <f t="shared" si="4"/>
        <v>0</v>
      </c>
      <c r="G23" s="10">
        <v>0</v>
      </c>
      <c r="H23" s="70">
        <f>+'GEMSA + CTR - NEW MONEY'!$G$8</f>
        <v>4.5999999999999999E-2</v>
      </c>
      <c r="I23" s="46">
        <f t="shared" si="5"/>
        <v>12782.234940079574</v>
      </c>
      <c r="J23" s="46">
        <f t="shared" si="6"/>
        <v>12782.234940079574</v>
      </c>
      <c r="K23" s="43"/>
      <c r="L23" s="41"/>
      <c r="M23" s="74"/>
      <c r="N23" s="77">
        <f t="shared" si="7"/>
        <v>12228.855969632401</v>
      </c>
      <c r="O23" s="78">
        <f t="shared" si="8"/>
        <v>1.22288559696324E-4</v>
      </c>
      <c r="P23" s="25"/>
      <c r="Q23" s="158">
        <f>+J23/(1+'GEMSA + CTR - NEW MONEY'!$G$20)^('Clase XII $ UVA'!A23/365)</f>
        <v>12228.853956813327</v>
      </c>
      <c r="R23" s="75"/>
      <c r="S23" s="41"/>
    </row>
    <row r="24" spans="1:19" ht="19.5" customHeight="1" x14ac:dyDescent="0.25">
      <c r="A24" s="45">
        <f t="shared" si="1"/>
        <v>458</v>
      </c>
      <c r="B24" s="5"/>
      <c r="C24" s="7">
        <f t="shared" si="2"/>
        <v>15</v>
      </c>
      <c r="D24" s="11">
        <v>44970</v>
      </c>
      <c r="E24" s="9">
        <f t="shared" si="3"/>
        <v>91</v>
      </c>
      <c r="F24" s="46">
        <f>+G24*$E$10</f>
        <v>0</v>
      </c>
      <c r="G24" s="10">
        <v>0</v>
      </c>
      <c r="H24" s="70">
        <f>+'GEMSA + CTR - NEW MONEY'!$G$8</f>
        <v>4.5999999999999999E-2</v>
      </c>
      <c r="I24" s="46">
        <f>+H24/$E$8*(D24-D23)*($E$10-SUM(F20:F23))</f>
        <v>12374.291271779162</v>
      </c>
      <c r="J24" s="46">
        <f t="shared" si="6"/>
        <v>12374.291271779162</v>
      </c>
      <c r="K24" s="43"/>
      <c r="L24" s="41"/>
      <c r="M24" s="74"/>
      <c r="N24" s="77">
        <f t="shared" si="7"/>
        <v>11709.366705355385</v>
      </c>
      <c r="O24" s="78">
        <f t="shared" si="8"/>
        <v>1.1709366705355386E-4</v>
      </c>
      <c r="P24" s="25"/>
      <c r="Q24" s="158">
        <f>+J24/(1+'GEMSA + CTR - NEW MONEY'!$G$20)^('Clase XII $ UVA'!A24/365)</f>
        <v>11709.364300152469</v>
      </c>
      <c r="R24" s="75"/>
      <c r="S24" s="41"/>
    </row>
    <row r="25" spans="1:19" ht="19.5" customHeight="1" x14ac:dyDescent="0.25">
      <c r="A25" s="45">
        <f t="shared" si="1"/>
        <v>546</v>
      </c>
      <c r="B25" s="5"/>
      <c r="C25" s="7">
        <f t="shared" si="2"/>
        <v>18</v>
      </c>
      <c r="D25" s="11">
        <v>45058</v>
      </c>
      <c r="E25" s="9">
        <f t="shared" si="3"/>
        <v>88</v>
      </c>
      <c r="F25" s="46">
        <f t="shared" ref="F25:F26" si="11">+G25*$E$10</f>
        <v>0</v>
      </c>
      <c r="G25" s="10">
        <v>0</v>
      </c>
      <c r="H25" s="70">
        <f>+'GEMSA + CTR - NEW MONEY'!$G$8</f>
        <v>4.5999999999999999E-2</v>
      </c>
      <c r="I25" s="46">
        <f t="shared" ref="I25:I31" si="12">+H25/$E$8*(D25-D24)*($E$10-SUM(F21:F24))</f>
        <v>11966.347603478751</v>
      </c>
      <c r="J25" s="46">
        <f t="shared" si="6"/>
        <v>11966.347603478751</v>
      </c>
      <c r="K25" s="43"/>
      <c r="L25" s="41"/>
      <c r="M25" s="74"/>
      <c r="N25" s="77">
        <f t="shared" si="7"/>
        <v>11203.812832819141</v>
      </c>
      <c r="O25" s="78">
        <f t="shared" si="8"/>
        <v>1.1203812832819142E-4</v>
      </c>
      <c r="P25" s="25"/>
      <c r="Q25" s="158">
        <f>+J25/(1+'GEMSA + CTR - NEW MONEY'!$G$20)^('Clase XII $ UVA'!A25/365)</f>
        <v>11203.810089279021</v>
      </c>
      <c r="R25" s="75"/>
      <c r="S25" s="41"/>
    </row>
    <row r="26" spans="1:19" ht="19.5" customHeight="1" x14ac:dyDescent="0.25">
      <c r="A26" s="45">
        <f t="shared" si="1"/>
        <v>640</v>
      </c>
      <c r="B26" s="5"/>
      <c r="C26" s="7">
        <f t="shared" si="2"/>
        <v>21</v>
      </c>
      <c r="D26" s="11">
        <v>45152</v>
      </c>
      <c r="E26" s="9">
        <f t="shared" si="3"/>
        <v>94</v>
      </c>
      <c r="F26" s="46">
        <f t="shared" si="11"/>
        <v>0</v>
      </c>
      <c r="G26" s="10">
        <v>0</v>
      </c>
      <c r="H26" s="70">
        <f>+'GEMSA + CTR - NEW MONEY'!$G$8</f>
        <v>4.5999999999999999E-2</v>
      </c>
      <c r="I26" s="46">
        <f t="shared" si="12"/>
        <v>12782.234940079574</v>
      </c>
      <c r="J26" s="46">
        <f t="shared" si="6"/>
        <v>12782.234940079574</v>
      </c>
      <c r="K26" s="43"/>
      <c r="L26" s="41"/>
      <c r="M26" s="74"/>
      <c r="N26" s="77">
        <f t="shared" si="7"/>
        <v>11832.811478076512</v>
      </c>
      <c r="O26" s="78">
        <f t="shared" si="8"/>
        <v>1.1832811478076512E-4</v>
      </c>
      <c r="P26" s="25"/>
      <c r="Q26" s="158">
        <f>+J26/(1+'GEMSA + CTR - NEW MONEY'!$G$20)^('Clase XII $ UVA'!A26/365)</f>
        <v>11832.808081661606</v>
      </c>
      <c r="R26" s="75"/>
      <c r="S26" s="41"/>
    </row>
    <row r="27" spans="1:19" ht="19.5" customHeight="1" x14ac:dyDescent="0.25">
      <c r="A27" s="45">
        <f>+D27-$D$19</f>
        <v>730</v>
      </c>
      <c r="B27" s="5"/>
      <c r="C27" s="7">
        <f t="shared" ref="C27:C31" si="13">+C26+3</f>
        <v>24</v>
      </c>
      <c r="D27" s="11">
        <v>45242</v>
      </c>
      <c r="E27" s="9">
        <f t="shared" si="3"/>
        <v>90</v>
      </c>
      <c r="F27" s="46">
        <f t="shared" ref="F27:F31" si="14">+G27*$E$10</f>
        <v>0</v>
      </c>
      <c r="G27" s="10">
        <v>0</v>
      </c>
      <c r="H27" s="70">
        <f>+'GEMSA + CTR - NEW MONEY'!$G$8</f>
        <v>4.5999999999999999E-2</v>
      </c>
      <c r="I27" s="46">
        <f t="shared" si="12"/>
        <v>12238.310049012358</v>
      </c>
      <c r="J27" s="46">
        <f t="shared" ref="J27:J31" si="15">+I27+F27</f>
        <v>12238.310049012358</v>
      </c>
      <c r="K27" s="43"/>
      <c r="L27" s="41"/>
      <c r="M27" s="74"/>
      <c r="N27" s="77">
        <f t="shared" si="7"/>
        <v>11206.990733553404</v>
      </c>
      <c r="O27" s="78">
        <f t="shared" si="8"/>
        <v>1.1206990733553404E-4</v>
      </c>
      <c r="P27" s="25"/>
      <c r="Q27" s="158">
        <f>+J27/(1+'GEMSA + CTR - NEW MONEY'!$G$20)^('Clase XII $ UVA'!A27/365)</f>
        <v>11206.987064410027</v>
      </c>
      <c r="R27" s="75"/>
      <c r="S27" s="41"/>
    </row>
    <row r="28" spans="1:19" ht="19.5" customHeight="1" x14ac:dyDescent="0.25">
      <c r="A28" s="45">
        <f t="shared" si="1"/>
        <v>822</v>
      </c>
      <c r="B28" s="5"/>
      <c r="C28" s="7">
        <f t="shared" si="13"/>
        <v>27</v>
      </c>
      <c r="D28" s="11">
        <f t="shared" si="10"/>
        <v>45334</v>
      </c>
      <c r="E28" s="9">
        <f t="shared" si="3"/>
        <v>92</v>
      </c>
      <c r="F28" s="46">
        <f t="shared" si="14"/>
        <v>269745.36037980142</v>
      </c>
      <c r="G28" s="10">
        <v>0.25</v>
      </c>
      <c r="H28" s="70">
        <f>+'GEMSA + CTR - NEW MONEY'!$G$8</f>
        <v>4.5999999999999999E-2</v>
      </c>
      <c r="I28" s="46">
        <f t="shared" si="12"/>
        <v>12510.272494545967</v>
      </c>
      <c r="J28" s="46">
        <f t="shared" si="15"/>
        <v>282255.63287434739</v>
      </c>
      <c r="K28" s="43"/>
      <c r="L28" s="41"/>
      <c r="M28" s="74"/>
      <c r="N28" s="77">
        <f t="shared" si="7"/>
        <v>255618.24235846297</v>
      </c>
      <c r="O28" s="78">
        <f t="shared" si="8"/>
        <v>2.5561824235846298E-3</v>
      </c>
      <c r="P28" s="25"/>
      <c r="Q28" s="158">
        <f>+J28/(1+'GEMSA + CTR - NEW MONEY'!$G$20)^('Clase XII $ UVA'!A28/365)</f>
        <v>255618.14812254556</v>
      </c>
      <c r="R28" s="75"/>
      <c r="S28" s="41"/>
    </row>
    <row r="29" spans="1:19" ht="19.5" customHeight="1" x14ac:dyDescent="0.25">
      <c r="A29" s="45">
        <f t="shared" si="1"/>
        <v>913</v>
      </c>
      <c r="B29" s="5"/>
      <c r="C29" s="7">
        <f t="shared" si="13"/>
        <v>30</v>
      </c>
      <c r="D29" s="11">
        <v>45425</v>
      </c>
      <c r="E29" s="9">
        <f t="shared" si="3"/>
        <v>91</v>
      </c>
      <c r="F29" s="46">
        <f t="shared" si="14"/>
        <v>269745.36037980142</v>
      </c>
      <c r="G29" s="10">
        <v>0.25</v>
      </c>
      <c r="H29" s="70">
        <f>+'GEMSA + CTR - NEW MONEY'!$G$8</f>
        <v>4.5999999999999999E-2</v>
      </c>
      <c r="I29" s="46">
        <f t="shared" si="12"/>
        <v>9280.7184538343718</v>
      </c>
      <c r="J29" s="46">
        <f t="shared" si="15"/>
        <v>279026.07883363578</v>
      </c>
      <c r="K29" s="43"/>
      <c r="L29" s="41"/>
      <c r="M29" s="74"/>
      <c r="N29" s="77">
        <f t="shared" si="7"/>
        <v>249935.56603966284</v>
      </c>
      <c r="O29" s="78">
        <f t="shared" si="8"/>
        <v>2.4993556603966284E-3</v>
      </c>
      <c r="P29" s="25"/>
      <c r="Q29" s="158">
        <f>+J29/(1+'GEMSA + CTR - NEW MONEY'!$G$20)^('Clase XII $ UVA'!A29/365)</f>
        <v>249935.46369819756</v>
      </c>
      <c r="R29" s="75"/>
      <c r="S29" s="41"/>
    </row>
    <row r="30" spans="1:19" ht="19.5" customHeight="1" x14ac:dyDescent="0.25">
      <c r="A30" s="45">
        <f t="shared" si="1"/>
        <v>1004</v>
      </c>
      <c r="B30" s="5"/>
      <c r="C30" s="7">
        <f t="shared" si="13"/>
        <v>33</v>
      </c>
      <c r="D30" s="11">
        <v>45516</v>
      </c>
      <c r="E30" s="9">
        <f t="shared" si="3"/>
        <v>91</v>
      </c>
      <c r="F30" s="46">
        <f t="shared" si="14"/>
        <v>269745.36037980142</v>
      </c>
      <c r="G30" s="10">
        <v>0.25</v>
      </c>
      <c r="H30" s="70">
        <f>+'GEMSA + CTR - NEW MONEY'!$G$8</f>
        <v>4.5999999999999999E-2</v>
      </c>
      <c r="I30" s="46">
        <f t="shared" si="12"/>
        <v>6187.1456358895812</v>
      </c>
      <c r="J30" s="46">
        <f t="shared" si="15"/>
        <v>275932.50601569097</v>
      </c>
      <c r="K30" s="43"/>
      <c r="L30" s="41"/>
      <c r="M30" s="74"/>
      <c r="N30" s="77">
        <f t="shared" si="7"/>
        <v>244466.95813400915</v>
      </c>
      <c r="O30" s="78">
        <f t="shared" si="8"/>
        <v>2.4446695813400915E-3</v>
      </c>
      <c r="P30" s="25"/>
      <c r="Q30" s="158">
        <f>+J30/(1+'GEMSA + CTR - NEW MONEY'!$G$20)^('Clase XII $ UVA'!A30/365)</f>
        <v>244466.84805445428</v>
      </c>
      <c r="R30" s="75"/>
      <c r="S30" s="41"/>
    </row>
    <row r="31" spans="1:19" ht="19.5" customHeight="1" x14ac:dyDescent="0.25">
      <c r="A31" s="45">
        <f t="shared" si="1"/>
        <v>1096</v>
      </c>
      <c r="B31" s="5"/>
      <c r="C31" s="7">
        <f t="shared" si="13"/>
        <v>36</v>
      </c>
      <c r="D31" s="11">
        <f t="shared" ref="D31" si="16">+EDATE(D30,3)</f>
        <v>45608</v>
      </c>
      <c r="E31" s="9">
        <f t="shared" si="3"/>
        <v>92</v>
      </c>
      <c r="F31" s="46">
        <f t="shared" si="14"/>
        <v>269745.36037980142</v>
      </c>
      <c r="G31" s="10">
        <v>0.25</v>
      </c>
      <c r="H31" s="70">
        <f>+'GEMSA + CTR - NEW MONEY'!$G$8</f>
        <v>4.5999999999999999E-2</v>
      </c>
      <c r="I31" s="46">
        <f t="shared" si="12"/>
        <v>3127.5681236364908</v>
      </c>
      <c r="J31" s="46">
        <f t="shared" si="15"/>
        <v>272872.9285034379</v>
      </c>
      <c r="K31" s="43">
        <v>1094006.8493150685</v>
      </c>
      <c r="L31" s="41"/>
      <c r="M31" s="74"/>
      <c r="N31" s="77">
        <f t="shared" si="7"/>
        <v>239088.90364797387</v>
      </c>
      <c r="O31" s="78">
        <f t="shared" si="8"/>
        <v>2.3908890364797387E-3</v>
      </c>
      <c r="P31" s="25" t="e">
        <f>+J31/((1+(#REF!))^(A31/365))</f>
        <v>#REF!</v>
      </c>
      <c r="Q31" s="158">
        <f>+J31/(1+'GEMSA + CTR - NEW MONEY'!$G$20)^('Clase XII $ UVA'!A31/365)</f>
        <v>239088.78612500639</v>
      </c>
      <c r="R31" s="75">
        <f t="shared" si="9"/>
        <v>1090879.2811914319</v>
      </c>
      <c r="S31" s="41"/>
    </row>
    <row r="32" spans="1:19" ht="19.5" customHeight="1" x14ac:dyDescent="0.25">
      <c r="A32" s="42"/>
      <c r="B32" s="5"/>
      <c r="C32" s="111"/>
      <c r="D32" s="112"/>
      <c r="E32" s="113">
        <f t="shared" ref="E32:G32" si="17">+SUM(E20:E31)</f>
        <v>1096</v>
      </c>
      <c r="F32" s="113">
        <f t="shared" si="17"/>
        <v>1078981.4415192057</v>
      </c>
      <c r="G32" s="113">
        <f t="shared" si="17"/>
        <v>1</v>
      </c>
      <c r="H32" s="114"/>
      <c r="I32" s="113">
        <f>+SUM(I20:I31)</f>
        <v>130371.99732767332</v>
      </c>
      <c r="J32" s="113">
        <f>+SUM(J20:J31)</f>
        <v>1209353.4388468789</v>
      </c>
      <c r="K32" s="76"/>
      <c r="L32" s="41"/>
      <c r="M32" s="74"/>
      <c r="O32" s="79">
        <f>SUM(O31:O31)</f>
        <v>2.3908890364797387E-3</v>
      </c>
      <c r="R32" s="41"/>
      <c r="S32" s="41"/>
    </row>
    <row r="33" spans="1:19" ht="19.5" customHeight="1" x14ac:dyDescent="0.25">
      <c r="A33" s="42"/>
      <c r="B33" s="5"/>
      <c r="C33" s="5"/>
      <c r="D33" s="13"/>
      <c r="E33" s="5"/>
      <c r="F33" s="5"/>
      <c r="G33" s="5"/>
      <c r="H33" s="12"/>
      <c r="I33" s="5"/>
      <c r="J33" s="5"/>
      <c r="K33" s="43"/>
      <c r="L33" s="41"/>
      <c r="M33" s="74"/>
      <c r="R33" s="41"/>
      <c r="S33" s="41"/>
    </row>
    <row r="34" spans="1:19" ht="19.5" customHeight="1" thickBot="1" x14ac:dyDescent="0.3">
      <c r="A34" s="42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19"/>
      <c r="N34" s="5"/>
    </row>
    <row r="35" spans="1:19" s="5" customFormat="1" ht="19.5" customHeight="1" x14ac:dyDescent="0.25">
      <c r="A35" s="4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20"/>
    </row>
    <row r="36" spans="1:19" ht="19.5" customHeight="1" x14ac:dyDescent="0.25">
      <c r="A36" s="43"/>
      <c r="B36" s="174" t="s">
        <v>22</v>
      </c>
      <c r="C36" s="175"/>
      <c r="D36" s="175"/>
      <c r="E36" s="175"/>
      <c r="F36" s="175"/>
      <c r="G36" s="175"/>
      <c r="H36" s="175"/>
      <c r="I36" s="175"/>
      <c r="J36" s="175"/>
      <c r="K36" s="175"/>
      <c r="L36" s="176"/>
      <c r="M36" s="20"/>
      <c r="N36" s="5"/>
    </row>
    <row r="37" spans="1:19" ht="19.5" customHeight="1" x14ac:dyDescent="0.25">
      <c r="B37" s="177"/>
      <c r="C37" s="178"/>
      <c r="D37" s="178"/>
      <c r="E37" s="178"/>
      <c r="F37" s="178"/>
      <c r="G37" s="178"/>
      <c r="H37" s="178"/>
      <c r="I37" s="178"/>
      <c r="J37" s="178"/>
      <c r="K37" s="178"/>
      <c r="L37" s="179"/>
    </row>
    <row r="38" spans="1:19" ht="19.5" customHeight="1" x14ac:dyDescent="0.25">
      <c r="B38" s="181"/>
      <c r="C38" s="181"/>
      <c r="D38" s="181"/>
    </row>
  </sheetData>
  <sheetProtection algorithmName="SHA-512" hashValue="z0NRiE/7wfV5fJWMimlro4GA23vFcnq3PqIQhW7uoRC2ygPgr/Jm/2msp8qHS6TfIdFURprzSb66I3LU4izyFw==" saltValue="u6Bk8A/REprXs7TMlrZtcQ==" spinCount="100000" sheet="1" objects="1" scenarios="1" selectLockedCells="1" selectUnlockedCells="1"/>
  <protectedRanges>
    <protectedRange sqref="G8" name="Rango1"/>
  </protectedRanges>
  <mergeCells count="7">
    <mergeCell ref="N18:O18"/>
    <mergeCell ref="B36:L37"/>
    <mergeCell ref="B1:L1"/>
    <mergeCell ref="B38:D38"/>
    <mergeCell ref="I2:J2"/>
    <mergeCell ref="D3:E3"/>
    <mergeCell ref="J5:L5"/>
  </mergeCells>
  <pageMargins left="0.24" right="0.33" top="0.75" bottom="0.75" header="0.3" footer="0.3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6"/>
  <sheetViews>
    <sheetView workbookViewId="0">
      <selection activeCell="A10" sqref="A10"/>
    </sheetView>
  </sheetViews>
  <sheetFormatPr baseColWidth="10" defaultRowHeight="15" x14ac:dyDescent="0.25"/>
  <cols>
    <col min="1" max="1" width="75.7109375" bestFit="1" customWidth="1"/>
    <col min="2" max="2" width="19.28515625" style="98" customWidth="1"/>
  </cols>
  <sheetData>
    <row r="2" spans="1:2" x14ac:dyDescent="0.25">
      <c r="A2" s="109" t="s">
        <v>57</v>
      </c>
      <c r="B2" s="110"/>
    </row>
    <row r="4" spans="1:2" x14ac:dyDescent="0.25">
      <c r="A4" t="s">
        <v>50</v>
      </c>
      <c r="B4" s="117">
        <v>44435</v>
      </c>
    </row>
    <row r="5" spans="1:2" x14ac:dyDescent="0.25">
      <c r="A5" t="s">
        <v>59</v>
      </c>
      <c r="B5" s="102">
        <v>0.06</v>
      </c>
    </row>
    <row r="6" spans="1:2" x14ac:dyDescent="0.25">
      <c r="A6" t="s">
        <v>51</v>
      </c>
      <c r="B6" s="101">
        <f>+'GEMSA + CTR - NEW MONEY'!D5</f>
        <v>44512</v>
      </c>
    </row>
    <row r="7" spans="1:2" x14ac:dyDescent="0.25">
      <c r="A7" t="s">
        <v>52</v>
      </c>
      <c r="B7" s="103">
        <f>+B8*B5/365*(B6-B4)</f>
        <v>1.2657534246575342</v>
      </c>
    </row>
    <row r="8" spans="1:2" x14ac:dyDescent="0.25">
      <c r="A8" t="s">
        <v>53</v>
      </c>
      <c r="B8" s="104">
        <v>100</v>
      </c>
    </row>
    <row r="9" spans="1:2" x14ac:dyDescent="0.25">
      <c r="A9" t="s">
        <v>54</v>
      </c>
      <c r="B9" s="99">
        <v>1</v>
      </c>
    </row>
    <row r="10" spans="1:2" x14ac:dyDescent="0.25">
      <c r="A10" s="100" t="s">
        <v>47</v>
      </c>
      <c r="B10" s="105">
        <v>0.01</v>
      </c>
    </row>
    <row r="11" spans="1:2" x14ac:dyDescent="0.25">
      <c r="A11" s="115" t="s">
        <v>55</v>
      </c>
      <c r="B11" s="116">
        <f>+(B9+B10)*(1+B7/100)</f>
        <v>1.0227841095890411</v>
      </c>
    </row>
    <row r="12" spans="1:2" x14ac:dyDescent="0.25">
      <c r="A12" s="115" t="s">
        <v>64</v>
      </c>
      <c r="B12" s="116">
        <f>+B11*B13/B14</f>
        <v>1.1051464816768257</v>
      </c>
    </row>
    <row r="13" spans="1:2" x14ac:dyDescent="0.25">
      <c r="A13" t="s">
        <v>56</v>
      </c>
      <c r="B13" s="107">
        <f>+B28</f>
        <v>100.1433</v>
      </c>
    </row>
    <row r="14" spans="1:2" x14ac:dyDescent="0.25">
      <c r="A14" t="s">
        <v>63</v>
      </c>
      <c r="B14" s="107">
        <f>+B29</f>
        <v>92.68</v>
      </c>
    </row>
    <row r="15" spans="1:2" x14ac:dyDescent="0.25">
      <c r="B15" s="106"/>
    </row>
    <row r="17" spans="1:2" x14ac:dyDescent="0.25">
      <c r="A17" s="109" t="s">
        <v>58</v>
      </c>
      <c r="B17" s="110"/>
    </row>
    <row r="19" spans="1:2" x14ac:dyDescent="0.25">
      <c r="A19" t="s">
        <v>50</v>
      </c>
      <c r="B19" s="101">
        <v>44452</v>
      </c>
    </row>
    <row r="20" spans="1:2" x14ac:dyDescent="0.25">
      <c r="A20" t="s">
        <v>59</v>
      </c>
      <c r="B20" s="102">
        <v>0.06</v>
      </c>
    </row>
    <row r="21" spans="1:2" x14ac:dyDescent="0.25">
      <c r="A21" t="s">
        <v>60</v>
      </c>
      <c r="B21" s="101">
        <f>+'GEMSA + CTR - NEW MONEY'!D5</f>
        <v>44512</v>
      </c>
    </row>
    <row r="22" spans="1:2" x14ac:dyDescent="0.25">
      <c r="A22" t="s">
        <v>52</v>
      </c>
      <c r="B22" s="103">
        <f>+B23*B20/365*(B21-B19)</f>
        <v>0.98630136986301364</v>
      </c>
    </row>
    <row r="23" spans="1:2" x14ac:dyDescent="0.25">
      <c r="A23" t="s">
        <v>61</v>
      </c>
      <c r="B23" s="104">
        <v>100</v>
      </c>
    </row>
    <row r="24" spans="1:2" x14ac:dyDescent="0.25">
      <c r="A24" t="s">
        <v>54</v>
      </c>
      <c r="B24" s="99">
        <v>1</v>
      </c>
    </row>
    <row r="25" spans="1:2" x14ac:dyDescent="0.25">
      <c r="A25" s="100" t="s">
        <v>47</v>
      </c>
      <c r="B25" s="105">
        <v>0.01</v>
      </c>
    </row>
    <row r="26" spans="1:2" x14ac:dyDescent="0.25">
      <c r="A26" s="115" t="s">
        <v>55</v>
      </c>
      <c r="B26" s="116">
        <f>+(B24+B25)*(1+B22/100)</f>
        <v>1.0199616438356165</v>
      </c>
    </row>
    <row r="27" spans="1:2" x14ac:dyDescent="0.25">
      <c r="A27" s="115" t="s">
        <v>64</v>
      </c>
      <c r="B27" s="116">
        <f>+B26*B28/B29</f>
        <v>1.1020967294683135</v>
      </c>
    </row>
    <row r="28" spans="1:2" x14ac:dyDescent="0.25">
      <c r="A28" t="s">
        <v>56</v>
      </c>
      <c r="B28" s="108">
        <f>+'GEMSA + CTR - NEW MONEY'!D10</f>
        <v>100.1433</v>
      </c>
    </row>
    <row r="29" spans="1:2" x14ac:dyDescent="0.25">
      <c r="A29" t="s">
        <v>63</v>
      </c>
      <c r="B29" s="108">
        <f>+'GEMSA + CTR - NEW MONEY'!G10</f>
        <v>92.68</v>
      </c>
    </row>
    <row r="30" spans="1:2" x14ac:dyDescent="0.25">
      <c r="B30" s="106"/>
    </row>
    <row r="32" spans="1:2" x14ac:dyDescent="0.25">
      <c r="A32" s="109" t="s">
        <v>68</v>
      </c>
      <c r="B32" s="110"/>
    </row>
    <row r="34" spans="1:2" x14ac:dyDescent="0.25">
      <c r="A34" t="s">
        <v>50</v>
      </c>
      <c r="B34" s="117">
        <v>44452</v>
      </c>
    </row>
    <row r="35" spans="1:2" x14ac:dyDescent="0.25">
      <c r="A35" t="s">
        <v>65</v>
      </c>
      <c r="B35" s="102">
        <v>4.5999999999999999E-2</v>
      </c>
    </row>
    <row r="36" spans="1:2" x14ac:dyDescent="0.25">
      <c r="A36" t="s">
        <v>51</v>
      </c>
      <c r="B36" s="101">
        <f>+'GEMSA + CTR - NEW MONEY'!G5</f>
        <v>44512</v>
      </c>
    </row>
    <row r="37" spans="1:2" x14ac:dyDescent="0.25">
      <c r="A37" t="s">
        <v>52</v>
      </c>
      <c r="B37" s="103">
        <f>+B38*B35/365*(B36-B34)</f>
        <v>0.75616438356164373</v>
      </c>
    </row>
    <row r="38" spans="1:2" x14ac:dyDescent="0.25">
      <c r="A38" t="s">
        <v>53</v>
      </c>
      <c r="B38" s="104">
        <v>100</v>
      </c>
    </row>
    <row r="39" spans="1:2" x14ac:dyDescent="0.25">
      <c r="A39" t="s">
        <v>54</v>
      </c>
      <c r="B39" s="99">
        <v>1</v>
      </c>
    </row>
    <row r="40" spans="1:2" x14ac:dyDescent="0.25">
      <c r="A40" s="115" t="s">
        <v>66</v>
      </c>
      <c r="B40" s="116">
        <f>+B39*(1+B37/100)+(1+B37/100)*B42</f>
        <v>1.0176372602739727</v>
      </c>
    </row>
    <row r="41" spans="1:2" x14ac:dyDescent="0.25">
      <c r="A41" s="115" t="s">
        <v>55</v>
      </c>
      <c r="B41" s="116">
        <f>+B46+B46*B43</f>
        <v>0.94876401749694905</v>
      </c>
    </row>
    <row r="42" spans="1:2" x14ac:dyDescent="0.25">
      <c r="A42" t="s">
        <v>69</v>
      </c>
      <c r="B42" s="106">
        <v>0.01</v>
      </c>
    </row>
    <row r="43" spans="1:2" x14ac:dyDescent="0.25">
      <c r="A43" t="s">
        <v>70</v>
      </c>
      <c r="B43" s="106">
        <v>1.4999999999999999E-2</v>
      </c>
    </row>
    <row r="44" spans="1:2" x14ac:dyDescent="0.25">
      <c r="A44" t="s">
        <v>73</v>
      </c>
      <c r="B44" s="118">
        <v>99.9</v>
      </c>
    </row>
    <row r="45" spans="1:2" x14ac:dyDescent="0.25">
      <c r="A45" t="s">
        <v>63</v>
      </c>
      <c r="B45" s="108">
        <f>+B29</f>
        <v>92.68</v>
      </c>
    </row>
    <row r="46" spans="1:2" x14ac:dyDescent="0.25">
      <c r="B46" s="98">
        <f>+(1+B37/100)*B45/B44</f>
        <v>0.9347428743812306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workbookViewId="0">
      <selection activeCell="I18" sqref="I18"/>
    </sheetView>
  </sheetViews>
  <sheetFormatPr baseColWidth="10" defaultRowHeight="15" x14ac:dyDescent="0.25"/>
  <cols>
    <col min="2" max="3" width="11.42578125" style="81"/>
    <col min="5" max="5" width="12" style="86" customWidth="1"/>
    <col min="7" max="7" width="16.7109375" bestFit="1" customWidth="1"/>
  </cols>
  <sheetData>
    <row r="1" spans="1:12" x14ac:dyDescent="0.25">
      <c r="E1" s="82" t="s">
        <v>32</v>
      </c>
      <c r="H1" s="83"/>
    </row>
    <row r="2" spans="1:12" x14ac:dyDescent="0.25">
      <c r="B2" s="84" t="s">
        <v>33</v>
      </c>
      <c r="C2" s="85" t="s">
        <v>34</v>
      </c>
      <c r="E2" s="86">
        <v>42363</v>
      </c>
      <c r="G2" s="87" t="s">
        <v>27</v>
      </c>
      <c r="H2" s="87">
        <f>+((H3*L3)+(H4*L4))/(L3+L4)</f>
        <v>0.34144994444444443</v>
      </c>
      <c r="I2" s="83">
        <v>44180</v>
      </c>
      <c r="J2" s="88">
        <f>+WORKDAY(I2,-7,$E$2:$E$83)</f>
        <v>44167</v>
      </c>
      <c r="K2" s="89" t="str">
        <f>+CONCATENATE("&gt;=",J2)</f>
        <v>&gt;=44167</v>
      </c>
      <c r="L2" s="90"/>
    </row>
    <row r="3" spans="1:12" x14ac:dyDescent="0.25">
      <c r="A3" s="91"/>
      <c r="B3" s="91">
        <v>44137</v>
      </c>
      <c r="C3" s="92">
        <v>31.75</v>
      </c>
      <c r="E3" s="86">
        <v>42369</v>
      </c>
      <c r="G3" t="s">
        <v>26</v>
      </c>
      <c r="H3" s="93">
        <f>+ROUND(AVERAGEIFS($C$3:$C$1562,$B$3:$B$1562,K2,$B$3:$B$1562,K4)/100,6)</f>
        <v>0.341555</v>
      </c>
      <c r="I3" s="83">
        <f>+'[1]Clase 8 $ Badlar (Reap.)'!E5</f>
        <v>44239</v>
      </c>
      <c r="L3" s="90">
        <f>+I3-I2</f>
        <v>59</v>
      </c>
    </row>
    <row r="4" spans="1:12" x14ac:dyDescent="0.25">
      <c r="A4" s="91"/>
      <c r="B4" s="91">
        <f t="shared" ref="B4:B67" si="0">+WORKDAY(B3,1,$E$2:$E$83)</f>
        <v>44138</v>
      </c>
      <c r="C4" s="92">
        <v>31.75</v>
      </c>
      <c r="E4" s="86">
        <v>42370</v>
      </c>
      <c r="G4" t="s">
        <v>35</v>
      </c>
      <c r="H4" s="93">
        <f>+AVERAGE(C60:C64)/100</f>
        <v>0.34125</v>
      </c>
      <c r="I4" s="83">
        <v>44270</v>
      </c>
      <c r="J4" s="88">
        <f>+WORKDAY(I4,-8,$E$2:$E$83)</f>
        <v>44258</v>
      </c>
      <c r="K4" s="89" t="str">
        <f>+CONCATENATE("&lt;=",J4)</f>
        <v>&lt;=44258</v>
      </c>
      <c r="L4" s="90">
        <f>+I4-I3</f>
        <v>31</v>
      </c>
    </row>
    <row r="5" spans="1:12" x14ac:dyDescent="0.25">
      <c r="A5" s="91"/>
      <c r="B5" s="91">
        <f t="shared" si="0"/>
        <v>44139</v>
      </c>
      <c r="C5" s="92">
        <v>31.4375</v>
      </c>
      <c r="E5" s="86">
        <v>42408</v>
      </c>
      <c r="H5" s="83"/>
      <c r="K5" s="90"/>
    </row>
    <row r="6" spans="1:12" x14ac:dyDescent="0.25">
      <c r="A6" s="91"/>
      <c r="B6" s="91">
        <f t="shared" si="0"/>
        <v>44140</v>
      </c>
      <c r="C6" s="92">
        <v>31.8125</v>
      </c>
      <c r="E6" s="86">
        <v>42409</v>
      </c>
      <c r="H6" s="83"/>
      <c r="K6" s="90"/>
    </row>
    <row r="7" spans="1:12" x14ac:dyDescent="0.25">
      <c r="A7" s="91"/>
      <c r="B7" s="91">
        <f t="shared" si="0"/>
        <v>44144</v>
      </c>
      <c r="C7" s="92">
        <v>31.75</v>
      </c>
      <c r="E7" s="86">
        <v>42453</v>
      </c>
      <c r="H7" s="83"/>
      <c r="K7" s="90"/>
    </row>
    <row r="8" spans="1:12" x14ac:dyDescent="0.25">
      <c r="A8" s="91"/>
      <c r="B8" s="91">
        <f t="shared" si="0"/>
        <v>44145</v>
      </c>
      <c r="C8" s="92">
        <v>31.8125</v>
      </c>
      <c r="E8" s="86">
        <v>42454</v>
      </c>
      <c r="H8" s="83"/>
      <c r="K8" s="90"/>
    </row>
    <row r="9" spans="1:12" x14ac:dyDescent="0.25">
      <c r="A9" s="91"/>
      <c r="B9" s="91">
        <f t="shared" si="0"/>
        <v>44146</v>
      </c>
      <c r="C9" s="92">
        <v>31.5625</v>
      </c>
      <c r="E9" s="86">
        <v>42456</v>
      </c>
      <c r="K9" s="90"/>
    </row>
    <row r="10" spans="1:12" x14ac:dyDescent="0.25">
      <c r="A10" s="91"/>
      <c r="B10" s="91">
        <f t="shared" si="0"/>
        <v>44147</v>
      </c>
      <c r="C10" s="92">
        <v>31.6875</v>
      </c>
      <c r="E10" s="86">
        <v>42462</v>
      </c>
    </row>
    <row r="11" spans="1:12" x14ac:dyDescent="0.25">
      <c r="A11" s="91"/>
      <c r="B11" s="91">
        <f t="shared" si="0"/>
        <v>44148</v>
      </c>
      <c r="C11" s="92">
        <v>33.625</v>
      </c>
      <c r="E11" s="86">
        <v>42491</v>
      </c>
    </row>
    <row r="12" spans="1:12" x14ac:dyDescent="0.25">
      <c r="A12" s="91"/>
      <c r="B12" s="91">
        <f t="shared" si="0"/>
        <v>44151</v>
      </c>
      <c r="C12" s="92">
        <v>33.875</v>
      </c>
      <c r="E12" s="86">
        <v>42515</v>
      </c>
    </row>
    <row r="13" spans="1:12" x14ac:dyDescent="0.25">
      <c r="A13" s="91"/>
      <c r="B13" s="91">
        <f t="shared" si="0"/>
        <v>44152</v>
      </c>
      <c r="C13" s="92">
        <v>33.9375</v>
      </c>
      <c r="E13" s="86">
        <v>42541</v>
      </c>
    </row>
    <row r="14" spans="1:12" x14ac:dyDescent="0.25">
      <c r="A14" s="91"/>
      <c r="B14" s="91">
        <f t="shared" si="0"/>
        <v>44153</v>
      </c>
      <c r="C14" s="92">
        <v>33.875</v>
      </c>
      <c r="E14" s="86">
        <v>42559</v>
      </c>
    </row>
    <row r="15" spans="1:12" x14ac:dyDescent="0.25">
      <c r="A15" s="91"/>
      <c r="B15" s="91">
        <f t="shared" si="0"/>
        <v>44154</v>
      </c>
      <c r="C15" s="92">
        <v>33.875</v>
      </c>
      <c r="E15" s="86">
        <v>42560</v>
      </c>
    </row>
    <row r="16" spans="1:12" x14ac:dyDescent="0.25">
      <c r="A16" s="91"/>
      <c r="B16" s="91">
        <f t="shared" si="0"/>
        <v>44155</v>
      </c>
      <c r="C16" s="92">
        <v>34.0625</v>
      </c>
      <c r="E16" s="86">
        <v>42597</v>
      </c>
    </row>
    <row r="17" spans="1:5" x14ac:dyDescent="0.25">
      <c r="A17" s="91"/>
      <c r="B17" s="91">
        <f t="shared" si="0"/>
        <v>44159</v>
      </c>
      <c r="C17" s="92">
        <v>33.875</v>
      </c>
      <c r="E17" s="86">
        <v>42653</v>
      </c>
    </row>
    <row r="18" spans="1:5" x14ac:dyDescent="0.25">
      <c r="A18" s="91"/>
      <c r="B18" s="91">
        <f t="shared" si="0"/>
        <v>44160</v>
      </c>
      <c r="C18" s="92">
        <v>33.625</v>
      </c>
      <c r="E18" s="86">
        <v>42702</v>
      </c>
    </row>
    <row r="19" spans="1:5" x14ac:dyDescent="0.25">
      <c r="A19" s="91"/>
      <c r="B19" s="91">
        <f t="shared" si="0"/>
        <v>44161</v>
      </c>
      <c r="C19" s="92">
        <v>34.0625</v>
      </c>
      <c r="E19" s="86">
        <v>42712</v>
      </c>
    </row>
    <row r="20" spans="1:5" x14ac:dyDescent="0.25">
      <c r="A20" s="91"/>
      <c r="B20" s="91">
        <f t="shared" si="0"/>
        <v>44162</v>
      </c>
      <c r="C20" s="92">
        <v>33.75</v>
      </c>
      <c r="E20" s="86">
        <v>42713</v>
      </c>
    </row>
    <row r="21" spans="1:5" x14ac:dyDescent="0.25">
      <c r="A21" s="91"/>
      <c r="B21" s="91">
        <f t="shared" si="0"/>
        <v>44165</v>
      </c>
      <c r="C21" s="92">
        <v>33.75</v>
      </c>
      <c r="E21" s="94">
        <v>42702</v>
      </c>
    </row>
    <row r="22" spans="1:5" x14ac:dyDescent="0.25">
      <c r="A22" s="91"/>
      <c r="B22" s="91">
        <f t="shared" si="0"/>
        <v>44166</v>
      </c>
      <c r="C22" s="92">
        <v>34.375</v>
      </c>
      <c r="E22" s="94">
        <v>42712</v>
      </c>
    </row>
    <row r="23" spans="1:5" x14ac:dyDescent="0.25">
      <c r="A23" s="91"/>
      <c r="B23" s="91">
        <f t="shared" si="0"/>
        <v>44167</v>
      </c>
      <c r="C23" s="92">
        <v>34.3125</v>
      </c>
      <c r="E23" s="94">
        <v>42713</v>
      </c>
    </row>
    <row r="24" spans="1:5" x14ac:dyDescent="0.25">
      <c r="A24" s="91"/>
      <c r="B24" s="91">
        <f t="shared" si="0"/>
        <v>44168</v>
      </c>
      <c r="C24" s="92">
        <v>34.1875</v>
      </c>
      <c r="E24" s="94">
        <v>42793</v>
      </c>
    </row>
    <row r="25" spans="1:5" x14ac:dyDescent="0.25">
      <c r="A25" s="91"/>
      <c r="B25" s="91">
        <f t="shared" si="0"/>
        <v>44169</v>
      </c>
      <c r="C25" s="92">
        <v>34.0625</v>
      </c>
      <c r="E25" s="94">
        <v>42794</v>
      </c>
    </row>
    <row r="26" spans="1:5" x14ac:dyDescent="0.25">
      <c r="A26" s="91"/>
      <c r="B26" s="91">
        <f t="shared" si="0"/>
        <v>44174</v>
      </c>
      <c r="C26" s="92">
        <v>34.25</v>
      </c>
      <c r="E26" s="94">
        <v>42818</v>
      </c>
    </row>
    <row r="27" spans="1:5" x14ac:dyDescent="0.25">
      <c r="A27" s="91"/>
      <c r="B27" s="91">
        <f t="shared" si="0"/>
        <v>44175</v>
      </c>
      <c r="C27" s="92">
        <v>34.375</v>
      </c>
      <c r="E27" s="94">
        <v>42827</v>
      </c>
    </row>
    <row r="28" spans="1:5" x14ac:dyDescent="0.25">
      <c r="A28" s="91"/>
      <c r="B28" s="91">
        <f t="shared" si="0"/>
        <v>44176</v>
      </c>
      <c r="C28" s="92">
        <v>34.125</v>
      </c>
      <c r="E28" s="94">
        <v>42473</v>
      </c>
    </row>
    <row r="29" spans="1:5" x14ac:dyDescent="0.25">
      <c r="A29" s="91"/>
      <c r="B29" s="91">
        <f t="shared" si="0"/>
        <v>44179</v>
      </c>
      <c r="C29" s="92">
        <v>34.0625</v>
      </c>
      <c r="E29" s="94">
        <v>42839</v>
      </c>
    </row>
    <row r="30" spans="1:5" x14ac:dyDescent="0.25">
      <c r="A30" s="91"/>
      <c r="B30" s="91">
        <f t="shared" si="0"/>
        <v>44180</v>
      </c>
      <c r="C30" s="92">
        <v>34.5</v>
      </c>
      <c r="E30" s="94">
        <v>42856</v>
      </c>
    </row>
    <row r="31" spans="1:5" x14ac:dyDescent="0.25">
      <c r="A31" s="91"/>
      <c r="B31" s="91">
        <f t="shared" si="0"/>
        <v>44181</v>
      </c>
      <c r="C31" s="92">
        <v>34.1875</v>
      </c>
      <c r="E31" s="94">
        <v>42880</v>
      </c>
    </row>
    <row r="32" spans="1:5" x14ac:dyDescent="0.25">
      <c r="A32" s="91"/>
      <c r="B32" s="91">
        <f t="shared" si="0"/>
        <v>44182</v>
      </c>
      <c r="C32" s="92">
        <v>34.1875</v>
      </c>
      <c r="E32" s="94">
        <v>42903</v>
      </c>
    </row>
    <row r="33" spans="1:5" x14ac:dyDescent="0.25">
      <c r="A33" s="91"/>
      <c r="B33" s="91">
        <f t="shared" si="0"/>
        <v>44183</v>
      </c>
      <c r="C33" s="92">
        <v>34.3125</v>
      </c>
      <c r="E33" s="94">
        <v>42906</v>
      </c>
    </row>
    <row r="34" spans="1:5" x14ac:dyDescent="0.25">
      <c r="A34" s="91"/>
      <c r="B34" s="91">
        <f t="shared" si="0"/>
        <v>44186</v>
      </c>
      <c r="C34" s="92">
        <v>34.25</v>
      </c>
      <c r="E34" s="94">
        <v>42925</v>
      </c>
    </row>
    <row r="35" spans="1:5" x14ac:dyDescent="0.25">
      <c r="A35" s="91"/>
      <c r="B35" s="91">
        <f t="shared" si="0"/>
        <v>44187</v>
      </c>
      <c r="C35" s="92">
        <v>34.0625</v>
      </c>
      <c r="E35" s="94">
        <v>42968</v>
      </c>
    </row>
    <row r="36" spans="1:5" x14ac:dyDescent="0.25">
      <c r="A36" s="91"/>
      <c r="B36" s="91">
        <f t="shared" si="0"/>
        <v>44188</v>
      </c>
      <c r="C36" s="92">
        <v>34.0625</v>
      </c>
      <c r="E36" s="94">
        <v>43024</v>
      </c>
    </row>
    <row r="37" spans="1:5" x14ac:dyDescent="0.25">
      <c r="A37" s="91"/>
      <c r="B37" s="91">
        <f t="shared" si="0"/>
        <v>44193</v>
      </c>
      <c r="C37" s="92">
        <v>34.125</v>
      </c>
      <c r="E37" s="94">
        <v>43059</v>
      </c>
    </row>
    <row r="38" spans="1:5" x14ac:dyDescent="0.25">
      <c r="A38" s="91"/>
      <c r="B38" s="91">
        <f t="shared" si="0"/>
        <v>44194</v>
      </c>
      <c r="C38" s="92">
        <v>34.1875</v>
      </c>
      <c r="E38" s="94">
        <v>43077</v>
      </c>
    </row>
    <row r="39" spans="1:5" x14ac:dyDescent="0.25">
      <c r="A39" s="91"/>
      <c r="B39" s="91">
        <f t="shared" si="0"/>
        <v>44195</v>
      </c>
      <c r="C39" s="92">
        <v>34.25</v>
      </c>
      <c r="E39" s="94">
        <v>43094</v>
      </c>
    </row>
    <row r="40" spans="1:5" x14ac:dyDescent="0.25">
      <c r="A40" s="91"/>
      <c r="B40" s="91">
        <f t="shared" si="0"/>
        <v>44200</v>
      </c>
      <c r="C40" s="92">
        <v>34.0625</v>
      </c>
      <c r="E40" s="94">
        <v>43143</v>
      </c>
    </row>
    <row r="41" spans="1:5" x14ac:dyDescent="0.25">
      <c r="A41" s="91"/>
      <c r="B41" s="91">
        <f t="shared" si="0"/>
        <v>44201</v>
      </c>
      <c r="C41" s="92">
        <v>34.3125</v>
      </c>
      <c r="E41" s="94">
        <v>43144</v>
      </c>
    </row>
    <row r="42" spans="1:5" x14ac:dyDescent="0.25">
      <c r="A42" s="91"/>
      <c r="B42" s="91">
        <f t="shared" si="0"/>
        <v>44202</v>
      </c>
      <c r="C42" s="92">
        <v>33.9375</v>
      </c>
      <c r="E42" s="94">
        <v>43188</v>
      </c>
    </row>
    <row r="43" spans="1:5" x14ac:dyDescent="0.25">
      <c r="A43" s="91"/>
      <c r="B43" s="91">
        <f t="shared" si="0"/>
        <v>44203</v>
      </c>
      <c r="C43" s="92">
        <v>33.8125</v>
      </c>
      <c r="E43" s="94">
        <v>43189</v>
      </c>
    </row>
    <row r="44" spans="1:5" x14ac:dyDescent="0.25">
      <c r="A44" s="91"/>
      <c r="B44" s="91">
        <f t="shared" si="0"/>
        <v>44204</v>
      </c>
      <c r="C44" s="92">
        <v>34.125</v>
      </c>
      <c r="E44" s="94">
        <v>43192</v>
      </c>
    </row>
    <row r="45" spans="1:5" x14ac:dyDescent="0.25">
      <c r="A45" s="91"/>
      <c r="B45" s="91">
        <f t="shared" si="0"/>
        <v>44207</v>
      </c>
      <c r="C45" s="92">
        <v>34.3125</v>
      </c>
      <c r="E45" s="94">
        <v>43220</v>
      </c>
    </row>
    <row r="46" spans="1:5" x14ac:dyDescent="0.25">
      <c r="A46" s="91"/>
      <c r="B46" s="91">
        <f t="shared" si="0"/>
        <v>44208</v>
      </c>
      <c r="C46" s="92">
        <v>34.125</v>
      </c>
      <c r="E46" s="94">
        <v>43221</v>
      </c>
    </row>
    <row r="47" spans="1:5" x14ac:dyDescent="0.25">
      <c r="A47" s="91"/>
      <c r="B47" s="91">
        <f t="shared" si="0"/>
        <v>44209</v>
      </c>
      <c r="C47" s="92">
        <v>34</v>
      </c>
      <c r="E47" s="94">
        <v>43245</v>
      </c>
    </row>
    <row r="48" spans="1:5" x14ac:dyDescent="0.25">
      <c r="A48" s="91"/>
      <c r="B48" s="91">
        <f t="shared" si="0"/>
        <v>44210</v>
      </c>
      <c r="C48" s="92">
        <v>34.375</v>
      </c>
      <c r="E48" s="94">
        <v>43271</v>
      </c>
    </row>
    <row r="49" spans="1:7" x14ac:dyDescent="0.25">
      <c r="A49" s="91"/>
      <c r="B49" s="91">
        <f t="shared" si="0"/>
        <v>44211</v>
      </c>
      <c r="C49" s="92">
        <v>34.5625</v>
      </c>
      <c r="E49" s="94">
        <v>43290</v>
      </c>
    </row>
    <row r="50" spans="1:7" x14ac:dyDescent="0.25">
      <c r="A50" s="91"/>
      <c r="B50" s="91">
        <f t="shared" si="0"/>
        <v>44214</v>
      </c>
      <c r="C50" s="92">
        <v>34.1875</v>
      </c>
      <c r="E50" s="94">
        <v>43332</v>
      </c>
    </row>
    <row r="51" spans="1:7" x14ac:dyDescent="0.25">
      <c r="A51" s="91"/>
      <c r="B51" s="91">
        <f t="shared" si="0"/>
        <v>44215</v>
      </c>
      <c r="C51" s="92">
        <v>34.1875</v>
      </c>
      <c r="E51" s="94">
        <v>43388</v>
      </c>
    </row>
    <row r="52" spans="1:7" x14ac:dyDescent="0.25">
      <c r="A52" s="91"/>
      <c r="B52" s="91">
        <f t="shared" si="0"/>
        <v>44216</v>
      </c>
      <c r="C52" s="92">
        <v>34.3125</v>
      </c>
      <c r="E52" s="94">
        <v>43410</v>
      </c>
    </row>
    <row r="53" spans="1:7" x14ac:dyDescent="0.25">
      <c r="A53" s="91"/>
      <c r="B53" s="91">
        <f t="shared" si="0"/>
        <v>44217</v>
      </c>
      <c r="C53" s="92">
        <v>34</v>
      </c>
      <c r="E53" s="94">
        <v>43423</v>
      </c>
    </row>
    <row r="54" spans="1:7" x14ac:dyDescent="0.25">
      <c r="A54" s="91"/>
      <c r="B54" s="91">
        <f t="shared" si="0"/>
        <v>44218</v>
      </c>
      <c r="C54" s="92">
        <v>34</v>
      </c>
      <c r="E54" s="94">
        <v>43458</v>
      </c>
    </row>
    <row r="55" spans="1:7" x14ac:dyDescent="0.25">
      <c r="A55" s="91"/>
      <c r="B55" s="91">
        <f t="shared" si="0"/>
        <v>44221</v>
      </c>
      <c r="C55" s="92">
        <v>33.8125</v>
      </c>
      <c r="E55" s="94">
        <v>43459</v>
      </c>
    </row>
    <row r="56" spans="1:7" x14ac:dyDescent="0.25">
      <c r="A56" s="91"/>
      <c r="B56" s="91">
        <f t="shared" si="0"/>
        <v>44222</v>
      </c>
      <c r="C56" s="92">
        <v>33.875</v>
      </c>
      <c r="E56" s="94">
        <v>43465</v>
      </c>
    </row>
    <row r="57" spans="1:7" x14ac:dyDescent="0.25">
      <c r="A57" s="91"/>
      <c r="B57" s="91">
        <f t="shared" si="0"/>
        <v>44223</v>
      </c>
      <c r="C57" s="92">
        <v>34.0625</v>
      </c>
      <c r="E57" s="94">
        <v>43466</v>
      </c>
    </row>
    <row r="58" spans="1:7" x14ac:dyDescent="0.25">
      <c r="A58" s="91"/>
      <c r="B58" s="91">
        <f t="shared" si="0"/>
        <v>44224</v>
      </c>
      <c r="C58" s="92">
        <v>34.1875</v>
      </c>
      <c r="E58" s="94">
        <v>43528</v>
      </c>
    </row>
    <row r="59" spans="1:7" x14ac:dyDescent="0.25">
      <c r="A59" s="91"/>
      <c r="B59" s="91">
        <f t="shared" si="0"/>
        <v>44225</v>
      </c>
      <c r="C59" s="92">
        <v>34.1875</v>
      </c>
      <c r="E59" s="94">
        <v>43529</v>
      </c>
      <c r="G59" s="91"/>
    </row>
    <row r="60" spans="1:7" x14ac:dyDescent="0.25">
      <c r="A60" s="91"/>
      <c r="B60" s="91">
        <f t="shared" si="0"/>
        <v>44228</v>
      </c>
      <c r="C60" s="92">
        <v>34.1875</v>
      </c>
      <c r="E60" s="94">
        <v>43548</v>
      </c>
      <c r="G60" s="91"/>
    </row>
    <row r="61" spans="1:7" x14ac:dyDescent="0.25">
      <c r="A61" s="91"/>
      <c r="B61" s="91">
        <f t="shared" si="0"/>
        <v>44229</v>
      </c>
      <c r="C61" s="92">
        <v>34.1875</v>
      </c>
      <c r="E61" s="94">
        <v>43557</v>
      </c>
      <c r="G61" s="91"/>
    </row>
    <row r="62" spans="1:7" x14ac:dyDescent="0.25">
      <c r="A62" s="91"/>
      <c r="B62" s="91">
        <f t="shared" si="0"/>
        <v>44230</v>
      </c>
      <c r="C62" s="92">
        <v>34</v>
      </c>
      <c r="E62" s="94">
        <v>43574</v>
      </c>
    </row>
    <row r="63" spans="1:7" x14ac:dyDescent="0.25">
      <c r="A63" s="91"/>
      <c r="B63" s="91">
        <f t="shared" si="0"/>
        <v>44231</v>
      </c>
      <c r="C63" s="95">
        <v>34.1875</v>
      </c>
      <c r="E63" s="94">
        <v>43586</v>
      </c>
    </row>
    <row r="64" spans="1:7" x14ac:dyDescent="0.25">
      <c r="A64" s="91"/>
      <c r="B64" s="91">
        <f t="shared" si="0"/>
        <v>44232</v>
      </c>
      <c r="C64" s="95">
        <v>34.0625</v>
      </c>
      <c r="E64" s="94">
        <v>43610</v>
      </c>
    </row>
    <row r="65" spans="1:5" x14ac:dyDescent="0.25">
      <c r="A65" s="91"/>
      <c r="B65" s="91">
        <f t="shared" si="0"/>
        <v>44235</v>
      </c>
      <c r="C65" s="95">
        <v>34.125</v>
      </c>
      <c r="E65" s="94">
        <v>43636</v>
      </c>
    </row>
    <row r="66" spans="1:5" x14ac:dyDescent="0.25">
      <c r="A66" s="91"/>
      <c r="B66" s="91">
        <f t="shared" si="0"/>
        <v>44236</v>
      </c>
      <c r="C66" s="95"/>
      <c r="E66" s="94">
        <v>43655</v>
      </c>
    </row>
    <row r="67" spans="1:5" x14ac:dyDescent="0.25">
      <c r="A67" s="91"/>
      <c r="B67" s="91">
        <f t="shared" si="0"/>
        <v>44237</v>
      </c>
      <c r="C67" s="95"/>
      <c r="E67" s="94">
        <v>43775</v>
      </c>
    </row>
    <row r="68" spans="1:5" x14ac:dyDescent="0.25">
      <c r="A68" s="91"/>
      <c r="B68" s="91">
        <f t="shared" ref="B68:B69" si="1">+WORKDAY(B67,1,$E$2:$E$83)</f>
        <v>44238</v>
      </c>
      <c r="C68" s="95"/>
      <c r="E68" s="94">
        <v>43807</v>
      </c>
    </row>
    <row r="69" spans="1:5" x14ac:dyDescent="0.25">
      <c r="A69" s="91"/>
      <c r="B69" s="91">
        <f t="shared" si="1"/>
        <v>44239</v>
      </c>
      <c r="C69" s="96"/>
      <c r="E69" s="94">
        <v>43824</v>
      </c>
    </row>
    <row r="70" spans="1:5" x14ac:dyDescent="0.25">
      <c r="E70" s="94">
        <v>43831</v>
      </c>
    </row>
    <row r="71" spans="1:5" x14ac:dyDescent="0.25">
      <c r="E71" s="86">
        <v>44021</v>
      </c>
    </row>
    <row r="72" spans="1:5" x14ac:dyDescent="0.25">
      <c r="E72" s="86">
        <v>44022</v>
      </c>
    </row>
    <row r="73" spans="1:5" x14ac:dyDescent="0.25">
      <c r="E73" s="86">
        <v>44141</v>
      </c>
    </row>
    <row r="74" spans="1:5" x14ac:dyDescent="0.25">
      <c r="E74" s="86">
        <v>44158</v>
      </c>
    </row>
    <row r="75" spans="1:5" x14ac:dyDescent="0.25">
      <c r="E75" s="86">
        <v>44172</v>
      </c>
    </row>
    <row r="76" spans="1:5" x14ac:dyDescent="0.25">
      <c r="E76" s="86">
        <v>44173</v>
      </c>
    </row>
    <row r="77" spans="1:5" x14ac:dyDescent="0.25">
      <c r="E77" s="86">
        <v>44189</v>
      </c>
    </row>
    <row r="78" spans="1:5" x14ac:dyDescent="0.25">
      <c r="E78" s="86">
        <v>44190</v>
      </c>
    </row>
    <row r="79" spans="1:5" x14ac:dyDescent="0.25">
      <c r="E79" s="86">
        <v>44196</v>
      </c>
    </row>
    <row r="80" spans="1:5" x14ac:dyDescent="0.25">
      <c r="E80" s="86">
        <v>44197</v>
      </c>
    </row>
    <row r="81" spans="5:5" x14ac:dyDescent="0.25">
      <c r="E81" s="86">
        <v>44279</v>
      </c>
    </row>
    <row r="82" spans="5:5" x14ac:dyDescent="0.25">
      <c r="E82" s="86">
        <v>44288</v>
      </c>
    </row>
    <row r="83" spans="5:5" x14ac:dyDescent="0.25">
      <c r="E83" s="86">
        <v>44341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GEMSA + CTR - CANJE</vt:lpstr>
      <vt:lpstr>GEMSA + CTR - NEW MONEY</vt:lpstr>
      <vt:lpstr>Clase XI USD Linked</vt:lpstr>
      <vt:lpstr>Clase XII $ UVA</vt:lpstr>
      <vt:lpstr>Relaciones de Canje</vt:lpstr>
      <vt:lpstr>Badlar</vt:lpstr>
      <vt:lpstr>'Clase XI USD Linked'!_DV_M3</vt:lpstr>
      <vt:lpstr>'Clase XII $ UVA'!_DV_M3</vt:lpstr>
      <vt:lpstr>'Clase XI USD Linked'!Área_de_impresión</vt:lpstr>
      <vt:lpstr>'Clase XII $ UVA'!Área_de_impresión</vt:lpstr>
    </vt:vector>
  </TitlesOfParts>
  <Company>Banco Itau Argentina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Ponieman</dc:creator>
  <cp:lastModifiedBy>Clari</cp:lastModifiedBy>
  <cp:lastPrinted>2012-07-11T16:27:23Z</cp:lastPrinted>
  <dcterms:created xsi:type="dcterms:W3CDTF">2012-05-11T18:43:00Z</dcterms:created>
  <dcterms:modified xsi:type="dcterms:W3CDTF">2021-11-10T19:57:34Z</dcterms:modified>
</cp:coreProperties>
</file>