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ba.usr.bpba\files\1296BancadeInversion\EMISIONES\CGC\Micrositio\"/>
    </mc:Choice>
  </mc:AlternateContent>
  <bookViews>
    <workbookView xWindow="0" yWindow="0" windowWidth="19560" windowHeight="7065" tabRatio="848"/>
  </bookViews>
  <sheets>
    <sheet name="CGC" sheetId="15" r:id="rId1"/>
    <sheet name="Clase 19 DL" sheetId="19" r:id="rId2"/>
    <sheet name="Clase 20 Badlar" sheetId="18" r:id="rId3"/>
    <sheet name="Clase 21 USD" sheetId="20" r:id="rId4"/>
    <sheet name="Inputs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9" l="1"/>
  <c r="C17" i="19"/>
  <c r="C5" i="19"/>
  <c r="I12" i="15"/>
  <c r="C11" i="15"/>
  <c r="D27" i="15"/>
  <c r="D32" i="15" l="1"/>
  <c r="J27" i="15" l="1"/>
  <c r="I11" i="15" l="1"/>
  <c r="D4" i="17"/>
  <c r="J4" i="15"/>
  <c r="D5" i="15"/>
  <c r="J5" i="15" s="1"/>
  <c r="J6" i="15" s="1"/>
  <c r="I4" i="15"/>
  <c r="F4" i="15" s="1"/>
  <c r="G5" i="15" l="1"/>
  <c r="G6" i="15" s="1"/>
  <c r="G4" i="15"/>
  <c r="C7" i="18"/>
  <c r="G19" i="15" s="1"/>
  <c r="C6" i="18"/>
  <c r="C6" i="19" l="1"/>
  <c r="G12" i="19" l="1"/>
  <c r="C5" i="20"/>
  <c r="C6" i="20" s="1"/>
  <c r="D6" i="15"/>
  <c r="C4" i="19"/>
  <c r="G9" i="19"/>
  <c r="G11" i="19"/>
  <c r="G10" i="19"/>
  <c r="G8" i="19"/>
  <c r="F2" i="18"/>
  <c r="G2" i="20"/>
  <c r="G6" i="19"/>
  <c r="A10" i="20"/>
  <c r="A9" i="20"/>
  <c r="C8" i="20"/>
  <c r="D5" i="20"/>
  <c r="D6" i="20" s="1"/>
  <c r="D7" i="20" s="1"/>
  <c r="D8" i="20" s="1"/>
  <c r="D9" i="20" s="1"/>
  <c r="H2" i="20"/>
  <c r="F2" i="20"/>
  <c r="C4" i="18" l="1"/>
  <c r="G12" i="20"/>
  <c r="G5" i="20"/>
  <c r="G10" i="20"/>
  <c r="G11" i="20"/>
  <c r="D10" i="20"/>
  <c r="D11" i="20" s="1"/>
  <c r="D12" i="20" s="1"/>
  <c r="G6" i="20"/>
  <c r="G5" i="19"/>
  <c r="G7" i="19"/>
  <c r="G9" i="20"/>
  <c r="G8" i="20"/>
  <c r="G7" i="20"/>
  <c r="D5" i="19"/>
  <c r="D6" i="19" s="1"/>
  <c r="D7" i="19" s="1"/>
  <c r="D8" i="19" s="1"/>
  <c r="D9" i="19" s="1"/>
  <c r="D10" i="19" s="1"/>
  <c r="D11" i="19" s="1"/>
  <c r="D12" i="19" s="1"/>
  <c r="J3" i="18"/>
  <c r="C3" i="20"/>
  <c r="J3" i="20" s="1"/>
  <c r="A2" i="20"/>
  <c r="C8" i="15" l="1"/>
  <c r="I8" i="15" s="1"/>
  <c r="C9" i="15"/>
  <c r="I9" i="15" s="1"/>
  <c r="J3" i="19"/>
  <c r="A2" i="19"/>
  <c r="D173" i="17"/>
  <c r="D174" i="17"/>
  <c r="D175" i="17"/>
  <c r="D170" i="17"/>
  <c r="D171" i="17"/>
  <c r="D172" i="17"/>
  <c r="D169" i="17"/>
  <c r="G8" i="18" l="1"/>
  <c r="G5" i="18"/>
  <c r="G6" i="18"/>
  <c r="G4" i="18"/>
  <c r="C8" i="18"/>
  <c r="G7" i="18"/>
  <c r="E3" i="19"/>
  <c r="E4" i="19" l="1"/>
  <c r="E5" i="19" s="1"/>
  <c r="E6" i="19" s="1"/>
  <c r="E7" i="19" l="1"/>
  <c r="F7" i="19" s="1"/>
  <c r="F6" i="19"/>
  <c r="I5" i="19"/>
  <c r="J5" i="19" s="1"/>
  <c r="F4" i="19"/>
  <c r="E8" i="19" l="1"/>
  <c r="F8" i="19" s="1"/>
  <c r="F5" i="19"/>
  <c r="I8" i="19" l="1"/>
  <c r="J8" i="19" s="1"/>
  <c r="E9" i="19"/>
  <c r="F9" i="19" s="1"/>
  <c r="I6" i="19"/>
  <c r="J6" i="19" s="1"/>
  <c r="E10" i="19" l="1"/>
  <c r="F10" i="19" s="1"/>
  <c r="I9" i="19"/>
  <c r="J9" i="19" s="1"/>
  <c r="I7" i="19"/>
  <c r="J7" i="19" s="1"/>
  <c r="E11" i="19" l="1"/>
  <c r="I10" i="19"/>
  <c r="J10" i="19" s="1"/>
  <c r="I11" i="19" l="1"/>
  <c r="J11" i="19" s="1"/>
  <c r="E12" i="19"/>
  <c r="F11" i="19"/>
  <c r="E3" i="18"/>
  <c r="A2" i="18"/>
  <c r="F12" i="19" l="1"/>
  <c r="I12" i="19"/>
  <c r="J12" i="19" s="1"/>
  <c r="E4" i="18"/>
  <c r="C5" i="18"/>
  <c r="E3" i="20" l="1"/>
  <c r="E4" i="20" s="1"/>
  <c r="E5" i="20" s="1"/>
  <c r="E6" i="20" s="1"/>
  <c r="E7" i="20" s="1"/>
  <c r="E8" i="20" s="1"/>
  <c r="F4" i="18"/>
  <c r="E5" i="18"/>
  <c r="E6" i="18" s="1"/>
  <c r="E7" i="18" s="1"/>
  <c r="E9" i="20" l="1"/>
  <c r="I9" i="20" s="1"/>
  <c r="E8" i="18"/>
  <c r="I8" i="18" s="1"/>
  <c r="J8" i="18" s="1"/>
  <c r="F4" i="20"/>
  <c r="F6" i="18"/>
  <c r="F5" i="18"/>
  <c r="I6" i="18"/>
  <c r="J6" i="18" s="1"/>
  <c r="I5" i="18"/>
  <c r="E10" i="20" l="1"/>
  <c r="I10" i="20" s="1"/>
  <c r="F8" i="18"/>
  <c r="F5" i="20"/>
  <c r="I5" i="20"/>
  <c r="F7" i="18"/>
  <c r="I7" i="18"/>
  <c r="E11" i="20" l="1"/>
  <c r="C14" i="18"/>
  <c r="G14" i="15" s="1"/>
  <c r="F6" i="20"/>
  <c r="I6" i="20"/>
  <c r="J5" i="18"/>
  <c r="C12" i="18" s="1"/>
  <c r="C11" i="18" s="1"/>
  <c r="K8" i="18" s="1"/>
  <c r="J7" i="18"/>
  <c r="E12" i="20" l="1"/>
  <c r="I12" i="20" s="1"/>
  <c r="I11" i="20"/>
  <c r="B17" i="19"/>
  <c r="D14" i="15"/>
  <c r="C8" i="19"/>
  <c r="D21" i="15"/>
  <c r="F7" i="20"/>
  <c r="I7" i="20"/>
  <c r="L12" i="19" l="1"/>
  <c r="L9" i="19"/>
  <c r="M9" i="19" s="1"/>
  <c r="L5" i="19"/>
  <c r="L11" i="19"/>
  <c r="L8" i="19"/>
  <c r="L7" i="19"/>
  <c r="M7" i="19" s="1"/>
  <c r="L6" i="19"/>
  <c r="L10" i="19"/>
  <c r="M10" i="19" s="1"/>
  <c r="M6" i="19"/>
  <c r="D20" i="15"/>
  <c r="M11" i="19"/>
  <c r="M8" i="19"/>
  <c r="M12" i="19"/>
  <c r="F12" i="20"/>
  <c r="F8" i="20"/>
  <c r="I8" i="20"/>
  <c r="G21" i="15"/>
  <c r="M5" i="19" l="1"/>
  <c r="C16" i="19" s="1"/>
  <c r="L4" i="19"/>
  <c r="J10" i="20"/>
  <c r="K5" i="18"/>
  <c r="K7" i="18"/>
  <c r="F9" i="20"/>
  <c r="K6" i="18"/>
  <c r="G20" i="15"/>
  <c r="F11" i="20" l="1"/>
  <c r="F10" i="20"/>
  <c r="K3" i="18"/>
  <c r="C13" i="18" s="1"/>
  <c r="G15" i="15" s="1"/>
  <c r="C13" i="20"/>
  <c r="M15" i="20"/>
  <c r="D15" i="15"/>
  <c r="J11" i="20" l="1"/>
  <c r="B13" i="20"/>
  <c r="J14" i="15"/>
  <c r="J6" i="20"/>
  <c r="J12" i="20"/>
  <c r="J5" i="20"/>
  <c r="J7" i="20"/>
  <c r="J8" i="20" l="1"/>
  <c r="J9" i="20"/>
  <c r="C9" i="20" l="1"/>
  <c r="C10" i="20" s="1"/>
  <c r="L8" i="20" l="1"/>
  <c r="M8" i="20" s="1"/>
  <c r="L10" i="20"/>
  <c r="M10" i="20" s="1"/>
  <c r="L11" i="20"/>
  <c r="M11" i="20" s="1"/>
  <c r="J21" i="15"/>
  <c r="L7" i="20"/>
  <c r="M7" i="20" s="1"/>
  <c r="L5" i="20"/>
  <c r="L12" i="20"/>
  <c r="M12" i="20" s="1"/>
  <c r="L6" i="20"/>
  <c r="M6" i="20" s="1"/>
  <c r="L9" i="20"/>
  <c r="M9" i="20" s="1"/>
  <c r="J20" i="15"/>
  <c r="L4" i="20" l="1"/>
  <c r="M5" i="20"/>
  <c r="C12" i="20" l="1"/>
  <c r="J15" i="15" s="1"/>
</calcChain>
</file>

<file path=xl/sharedStrings.xml><?xml version="1.0" encoding="utf-8"?>
<sst xmlns="http://schemas.openxmlformats.org/spreadsheetml/2006/main" count="107" uniqueCount="66">
  <si>
    <t>Plazo</t>
  </si>
  <si>
    <t>Amortización</t>
  </si>
  <si>
    <t>Intereses</t>
  </si>
  <si>
    <t>Flujo</t>
  </si>
  <si>
    <t>Precio</t>
  </si>
  <si>
    <t>TIR (TEA)</t>
  </si>
  <si>
    <t>TNA</t>
  </si>
  <si>
    <t>VN a licitar</t>
  </si>
  <si>
    <t>Tasa Fija a Licitar (TNA)</t>
  </si>
  <si>
    <t xml:space="preserve">La presente planilla de cálculo debe ser considerada por el interesado al sólo efecto ilustrativo y ejemplificativo. Los resultados que esta arroje no serán vinculantes y pueden sufrir variaciones ante cambios en cualquiera de los supuestos de elaboración. A los efectos de la suscripción de las Obligaciones Negociables, el interesado deberá basarse en sus propios cálculos y evaluación de la información publicada en el Suplemento de Prospecto y en particular las consideraciones de riesgo para la inversión. </t>
  </si>
  <si>
    <t>Tasa</t>
  </si>
  <si>
    <t>Fecha de Emisión</t>
  </si>
  <si>
    <t>Fecha de Vencimiento</t>
  </si>
  <si>
    <t>Vida Promedio (años)</t>
  </si>
  <si>
    <t>Duration (años)</t>
  </si>
  <si>
    <t>Fecha de Liquidación</t>
  </si>
  <si>
    <t>Badlar a Proyectar</t>
  </si>
  <si>
    <t>Spread s/Badlar a licitar</t>
  </si>
  <si>
    <t>Badlar proyectada</t>
  </si>
  <si>
    <t xml:space="preserve">TNA </t>
  </si>
  <si>
    <t>Calificación</t>
  </si>
  <si>
    <t>Trimestral</t>
  </si>
  <si>
    <t>Spread s/Badlar (Act/365)</t>
  </si>
  <si>
    <t>Cupón de Interés</t>
  </si>
  <si>
    <t>TIR TNA Días 90/365</t>
  </si>
  <si>
    <t>TIR TAE</t>
  </si>
  <si>
    <t>Duration</t>
  </si>
  <si>
    <t>Av. Life</t>
  </si>
  <si>
    <t>Fecha</t>
  </si>
  <si>
    <t>Badlar</t>
  </si>
  <si>
    <t>Tipo de Cupón</t>
  </si>
  <si>
    <t>Frecuencia</t>
  </si>
  <si>
    <t>Badlar + mg (a licitar)</t>
  </si>
  <si>
    <t>Tasa fija a licitar</t>
  </si>
  <si>
    <t>Valor Residual UVA</t>
  </si>
  <si>
    <t>Tasa a Licitar</t>
  </si>
  <si>
    <t>Duration Modificada</t>
  </si>
  <si>
    <t>Av Life</t>
  </si>
  <si>
    <t>Fecha Cupón</t>
  </si>
  <si>
    <t>Principal</t>
  </si>
  <si>
    <t>N°</t>
  </si>
  <si>
    <t>Devengadp</t>
  </si>
  <si>
    <t>Devengado</t>
  </si>
  <si>
    <t>TIR</t>
  </si>
  <si>
    <t>Dias</t>
  </si>
  <si>
    <t>Cupón a Licitar</t>
  </si>
  <si>
    <t>Tasa Fija a licitar</t>
  </si>
  <si>
    <t>Fecha de Suscripción</t>
  </si>
  <si>
    <t xml:space="preserve">ON CLASE 19- Dólar Linked </t>
  </si>
  <si>
    <t>entrega de C 13 y C15</t>
  </si>
  <si>
    <t>ON CLASE 20 - Badlar + Margen</t>
  </si>
  <si>
    <t>ON CLASE 20 - US$</t>
  </si>
  <si>
    <t>Entra C 12</t>
  </si>
  <si>
    <t>Relación de Canje</t>
  </si>
  <si>
    <t>Integración en C12</t>
  </si>
  <si>
    <t>VN a entregar Clase 13</t>
  </si>
  <si>
    <t>VN a recibir Clase 19</t>
  </si>
  <si>
    <t>VN a entregar Clase 19</t>
  </si>
  <si>
    <t>Integración en C13</t>
  </si>
  <si>
    <t>Integración en C15</t>
  </si>
  <si>
    <t>VN a entregar Clase 21</t>
  </si>
  <si>
    <t>VN a recibir Clase 21</t>
  </si>
  <si>
    <t xml:space="preserve">Tc Inicial </t>
  </si>
  <si>
    <t>A.ar</t>
  </si>
  <si>
    <t>A-1</t>
  </si>
  <si>
    <t>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</si>
</sst>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_-* #,##0.00_-;\-* #,##0.00_-;_-* &quot;-&quot;??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#,##0.00_ ;\-#,##0.00\ "/>
    <numFmt numFmtId="169" formatCode="#,##0_ ;\-#,##0\ "/>
    <numFmt numFmtId="170" formatCode="0.0000"/>
    <numFmt numFmtId="171" formatCode="#,##0.0000_ ;\-#,##0.0000\ "/>
    <numFmt numFmtId="172" formatCode="dd\-mm\-yy;@"/>
    <numFmt numFmtId="173" formatCode="0.0000%"/>
    <numFmt numFmtId="174" formatCode="_-* #,##0.0000\ _€_-;\-* #,##0.0000\ _€_-;_-* &quot;-&quot;??\ _€_-;_-@_-"/>
    <numFmt numFmtId="175" formatCode="#,##0.000"/>
    <numFmt numFmtId="176" formatCode="#,##0.0000"/>
    <numFmt numFmtId="177" formatCode="0.000%"/>
    <numFmt numFmtId="178" formatCode="#,##0.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3"/>
      <name val="Calibri"/>
      <family val="2"/>
      <scheme val="minor"/>
    </font>
    <font>
      <i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color rgb="FFFF0000"/>
      <name val="Times New Roman"/>
      <family val="1"/>
    </font>
    <font>
      <b/>
      <sz val="9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C227"/>
        <bgColor indexed="64"/>
      </patternFill>
    </fill>
    <fill>
      <patternFill patternType="solid">
        <fgColor rgb="FFE1ED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 applyAlignment="1" applyProtection="1">
      <alignment horizontal="center" vertical="center"/>
      <protection hidden="1"/>
    </xf>
    <xf numFmtId="172" fontId="8" fillId="2" borderId="0" xfId="0" applyNumberFormat="1" applyFont="1" applyFill="1" applyBorder="1" applyAlignment="1" applyProtection="1">
      <alignment horizontal="center" vertical="center"/>
      <protection hidden="1"/>
    </xf>
    <xf numFmtId="172" fontId="5" fillId="2" borderId="0" xfId="0" applyNumberFormat="1" applyFont="1" applyFill="1" applyBorder="1"/>
    <xf numFmtId="4" fontId="8" fillId="2" borderId="0" xfId="0" applyNumberFormat="1" applyFont="1" applyFill="1" applyBorder="1" applyAlignment="1" applyProtection="1">
      <alignment horizontal="center" vertical="center"/>
      <protection hidden="1"/>
    </xf>
    <xf numFmtId="10" fontId="9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>
      <alignment horizontal="left"/>
    </xf>
    <xf numFmtId="0" fontId="6" fillId="3" borderId="0" xfId="0" applyFont="1" applyFill="1" applyBorder="1" applyAlignment="1" applyProtection="1">
      <alignment horizontal="left" vertical="center"/>
      <protection hidden="1"/>
    </xf>
    <xf numFmtId="169" fontId="6" fillId="3" borderId="0" xfId="1" applyNumberFormat="1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 vertical="center"/>
      <protection hidden="1"/>
    </xf>
    <xf numFmtId="10" fontId="6" fillId="3" borderId="0" xfId="2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hidden="1"/>
    </xf>
    <xf numFmtId="10" fontId="10" fillId="4" borderId="0" xfId="0" applyNumberFormat="1" applyFont="1" applyFill="1" applyBorder="1" applyAlignment="1" applyProtection="1">
      <alignment horizontal="center" vertical="center"/>
      <protection hidden="1"/>
    </xf>
    <xf numFmtId="10" fontId="10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171" fontId="9" fillId="2" borderId="0" xfId="1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/>
    <xf numFmtId="166" fontId="5" fillId="2" borderId="0" xfId="1" applyFont="1" applyFill="1" applyBorder="1"/>
    <xf numFmtId="174" fontId="5" fillId="2" borderId="0" xfId="1" applyNumberFormat="1" applyFont="1" applyFill="1" applyBorder="1"/>
    <xf numFmtId="9" fontId="10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72" fontId="10" fillId="2" borderId="0" xfId="0" applyNumberFormat="1" applyFont="1" applyFill="1" applyBorder="1" applyAlignment="1" applyProtection="1">
      <alignment horizontal="center" vertical="center"/>
      <protection hidden="1"/>
    </xf>
    <xf numFmtId="3" fontId="10" fillId="2" borderId="0" xfId="0" applyNumberFormat="1" applyFont="1" applyFill="1" applyBorder="1" applyAlignment="1" applyProtection="1">
      <alignment horizontal="center" vertical="center"/>
      <protection hidden="1"/>
    </xf>
    <xf numFmtId="4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/>
    <xf numFmtId="172" fontId="7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/>
    <xf numFmtId="9" fontId="12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11" fillId="2" borderId="0" xfId="0" applyFont="1" applyFill="1" applyBorder="1" applyAlignment="1">
      <alignment wrapText="1"/>
    </xf>
    <xf numFmtId="169" fontId="10" fillId="2" borderId="0" xfId="1" applyNumberFormat="1" applyFont="1" applyFill="1" applyBorder="1" applyAlignment="1" applyProtection="1">
      <alignment horizontal="center" vertical="center"/>
      <protection hidden="1"/>
    </xf>
    <xf numFmtId="0" fontId="17" fillId="2" borderId="1" xfId="7" applyFont="1" applyFill="1" applyBorder="1" applyAlignment="1">
      <alignment horizontal="left" vertical="center"/>
    </xf>
    <xf numFmtId="0" fontId="12" fillId="2" borderId="0" xfId="6" applyFont="1" applyFill="1" applyBorder="1" applyAlignment="1">
      <alignment horizontal="left" vertical="center"/>
    </xf>
    <xf numFmtId="176" fontId="12" fillId="2" borderId="0" xfId="6" applyNumberFormat="1" applyFont="1" applyFill="1" applyBorder="1" applyAlignment="1">
      <alignment horizontal="left" vertical="center"/>
    </xf>
    <xf numFmtId="15" fontId="17" fillId="2" borderId="0" xfId="7" applyNumberFormat="1" applyFont="1" applyFill="1" applyBorder="1" applyAlignment="1">
      <alignment horizontal="left" vertical="center"/>
    </xf>
    <xf numFmtId="0" fontId="12" fillId="2" borderId="0" xfId="7" applyFont="1" applyFill="1" applyBorder="1" applyAlignment="1">
      <alignment horizontal="left" vertical="center"/>
    </xf>
    <xf numFmtId="173" fontId="12" fillId="2" borderId="0" xfId="7" applyNumberFormat="1" applyFont="1" applyFill="1" applyBorder="1" applyAlignment="1">
      <alignment horizontal="left" vertical="center"/>
    </xf>
    <xf numFmtId="4" fontId="17" fillId="2" borderId="0" xfId="7" applyNumberFormat="1" applyFont="1" applyFill="1" applyBorder="1" applyAlignment="1">
      <alignment horizontal="left" vertical="center"/>
    </xf>
    <xf numFmtId="15" fontId="12" fillId="2" borderId="0" xfId="7" applyNumberFormat="1" applyFont="1" applyFill="1" applyBorder="1" applyAlignment="1">
      <alignment horizontal="left" vertical="center"/>
    </xf>
    <xf numFmtId="4" fontId="12" fillId="2" borderId="0" xfId="7" applyNumberFormat="1" applyFont="1" applyFill="1" applyBorder="1" applyAlignment="1">
      <alignment horizontal="left" vertical="center"/>
    </xf>
    <xf numFmtId="176" fontId="12" fillId="2" borderId="0" xfId="7" applyNumberFormat="1" applyFont="1" applyFill="1" applyBorder="1" applyAlignment="1">
      <alignment horizontal="left" vertical="center"/>
    </xf>
    <xf numFmtId="10" fontId="12" fillId="2" borderId="0" xfId="2" applyNumberFormat="1" applyFont="1" applyFill="1" applyBorder="1" applyAlignment="1">
      <alignment horizontal="left" vertical="center"/>
    </xf>
    <xf numFmtId="173" fontId="12" fillId="2" borderId="0" xfId="6" applyNumberFormat="1" applyFont="1" applyFill="1" applyBorder="1" applyAlignment="1">
      <alignment horizontal="left" vertical="center"/>
    </xf>
    <xf numFmtId="15" fontId="16" fillId="2" borderId="0" xfId="7" applyNumberFormat="1" applyFont="1" applyFill="1" applyBorder="1" applyAlignment="1">
      <alignment horizontal="left" vertical="center"/>
    </xf>
    <xf numFmtId="2" fontId="12" fillId="2" borderId="0" xfId="6" applyNumberFormat="1" applyFont="1" applyFill="1" applyBorder="1" applyAlignment="1">
      <alignment horizontal="left" vertical="center"/>
    </xf>
    <xf numFmtId="2" fontId="12" fillId="2" borderId="0" xfId="0" applyNumberFormat="1" applyFont="1" applyFill="1" applyAlignment="1">
      <alignment horizontal="left"/>
    </xf>
    <xf numFmtId="2" fontId="17" fillId="2" borderId="0" xfId="7" applyNumberFormat="1" applyFont="1" applyFill="1" applyBorder="1" applyAlignment="1">
      <alignment horizontal="left" vertical="center"/>
    </xf>
    <xf numFmtId="2" fontId="12" fillId="2" borderId="0" xfId="7" applyNumberFormat="1" applyFont="1" applyFill="1" applyBorder="1" applyAlignment="1">
      <alignment horizontal="left" vertical="center"/>
    </xf>
    <xf numFmtId="0" fontId="17" fillId="2" borderId="1" xfId="6" applyFont="1" applyFill="1" applyBorder="1" applyAlignment="1">
      <alignment horizontal="left" vertical="center" wrapText="1"/>
    </xf>
    <xf numFmtId="0" fontId="12" fillId="2" borderId="1" xfId="6" applyFont="1" applyFill="1" applyBorder="1" applyAlignment="1">
      <alignment horizontal="left" vertical="center"/>
    </xf>
    <xf numFmtId="0" fontId="12" fillId="2" borderId="2" xfId="6" applyFont="1" applyFill="1" applyBorder="1" applyAlignment="1">
      <alignment horizontal="left" vertical="center"/>
    </xf>
    <xf numFmtId="0" fontId="17" fillId="2" borderId="3" xfId="6" applyFont="1" applyFill="1" applyBorder="1" applyAlignment="1">
      <alignment horizontal="left" vertical="center"/>
    </xf>
    <xf numFmtId="176" fontId="12" fillId="2" borderId="2" xfId="6" applyNumberFormat="1" applyFont="1" applyFill="1" applyBorder="1" applyAlignment="1">
      <alignment horizontal="left" vertical="center"/>
    </xf>
    <xf numFmtId="9" fontId="12" fillId="2" borderId="2" xfId="2" applyFont="1" applyFill="1" applyBorder="1" applyAlignment="1">
      <alignment horizontal="left" vertical="center"/>
    </xf>
    <xf numFmtId="0" fontId="12" fillId="2" borderId="3" xfId="6" applyFont="1" applyFill="1" applyBorder="1" applyAlignment="1">
      <alignment horizontal="left" vertical="center"/>
    </xf>
    <xf numFmtId="0" fontId="17" fillId="2" borderId="0" xfId="6" applyFont="1" applyFill="1" applyBorder="1" applyAlignment="1">
      <alignment horizontal="left" vertical="center"/>
    </xf>
    <xf numFmtId="0" fontId="12" fillId="2" borderId="0" xfId="8" applyFont="1" applyFill="1" applyBorder="1"/>
    <xf numFmtId="0" fontId="12" fillId="2" borderId="0" xfId="9" applyFont="1" applyFill="1" applyBorder="1" applyAlignment="1">
      <alignment horizontal="left" vertical="center"/>
    </xf>
    <xf numFmtId="15" fontId="12" fillId="2" borderId="0" xfId="9" applyNumberFormat="1" applyFont="1" applyFill="1" applyBorder="1" applyAlignment="1">
      <alignment horizontal="left" vertical="center"/>
    </xf>
    <xf numFmtId="10" fontId="12" fillId="2" borderId="0" xfId="11" applyNumberFormat="1" applyFont="1" applyFill="1" applyBorder="1" applyAlignment="1">
      <alignment horizontal="left" vertical="center"/>
    </xf>
    <xf numFmtId="173" fontId="12" fillId="2" borderId="0" xfId="9" applyNumberFormat="1" applyFont="1" applyFill="1" applyBorder="1" applyAlignment="1">
      <alignment horizontal="left" vertical="center"/>
    </xf>
    <xf numFmtId="4" fontId="12" fillId="2" borderId="0" xfId="9" applyNumberFormat="1" applyFont="1" applyFill="1" applyBorder="1" applyAlignment="1">
      <alignment horizontal="left" vertical="center"/>
    </xf>
    <xf numFmtId="0" fontId="12" fillId="2" borderId="0" xfId="8" applyFont="1" applyFill="1" applyBorder="1" applyAlignment="1">
      <alignment horizontal="left"/>
    </xf>
    <xf numFmtId="0" fontId="17" fillId="2" borderId="1" xfId="9" applyFont="1" applyFill="1" applyBorder="1" applyAlignment="1">
      <alignment horizontal="left" vertical="center"/>
    </xf>
    <xf numFmtId="4" fontId="12" fillId="2" borderId="0" xfId="8" applyNumberFormat="1" applyFont="1" applyFill="1" applyBorder="1" applyAlignment="1">
      <alignment horizontal="left"/>
    </xf>
    <xf numFmtId="4" fontId="17" fillId="2" borderId="0" xfId="9" applyNumberFormat="1" applyFont="1" applyFill="1" applyBorder="1" applyAlignment="1">
      <alignment horizontal="left" vertical="center"/>
    </xf>
    <xf numFmtId="176" fontId="15" fillId="2" borderId="0" xfId="9" applyNumberFormat="1" applyFont="1" applyFill="1" applyBorder="1" applyAlignment="1">
      <alignment horizontal="left" vertical="center"/>
    </xf>
    <xf numFmtId="0" fontId="12" fillId="2" borderId="1" xfId="8" applyFont="1" applyFill="1" applyBorder="1"/>
    <xf numFmtId="0" fontId="12" fillId="2" borderId="1" xfId="8" applyFont="1" applyFill="1" applyBorder="1" applyAlignment="1">
      <alignment horizontal="left"/>
    </xf>
    <xf numFmtId="0" fontId="17" fillId="2" borderId="1" xfId="9" applyFont="1" applyFill="1" applyBorder="1" applyAlignment="1">
      <alignment horizontal="left" vertical="center"/>
    </xf>
    <xf numFmtId="166" fontId="12" fillId="2" borderId="0" xfId="1" applyFont="1" applyFill="1" applyBorder="1" applyAlignment="1">
      <alignment horizontal="left" vertical="center"/>
    </xf>
    <xf numFmtId="1" fontId="12" fillId="2" borderId="0" xfId="1" applyNumberFormat="1" applyFont="1" applyFill="1" applyBorder="1" applyAlignment="1">
      <alignment horizontal="left" vertical="center"/>
    </xf>
    <xf numFmtId="167" fontId="3" fillId="2" borderId="0" xfId="0" applyNumberFormat="1" applyFont="1" applyFill="1" applyAlignment="1" applyProtection="1">
      <alignment horizontal="center" vertical="center"/>
      <protection hidden="1"/>
    </xf>
    <xf numFmtId="167" fontId="12" fillId="2" borderId="0" xfId="8" applyNumberFormat="1" applyFont="1" applyFill="1" applyBorder="1"/>
    <xf numFmtId="166" fontId="2" fillId="0" borderId="0" xfId="1" applyFont="1" applyFill="1" applyBorder="1" applyAlignment="1" applyProtection="1">
      <alignment horizontal="center" vertical="center"/>
      <protection hidden="1"/>
    </xf>
    <xf numFmtId="165" fontId="12" fillId="2" borderId="0" xfId="8" applyNumberFormat="1" applyFont="1" applyFill="1" applyBorder="1"/>
    <xf numFmtId="0" fontId="17" fillId="2" borderId="0" xfId="7" applyFont="1" applyFill="1" applyBorder="1" applyAlignment="1">
      <alignment horizontal="left" vertical="center"/>
    </xf>
    <xf numFmtId="168" fontId="18" fillId="0" borderId="0" xfId="1" applyNumberFormat="1" applyFont="1" applyBorder="1" applyAlignment="1" applyProtection="1">
      <alignment horizontal="left" vertical="center"/>
      <protection hidden="1"/>
    </xf>
    <xf numFmtId="0" fontId="12" fillId="2" borderId="0" xfId="10" applyFont="1" applyFill="1" applyBorder="1" applyAlignment="1">
      <alignment horizontal="left" vertical="center"/>
    </xf>
    <xf numFmtId="176" fontId="12" fillId="2" borderId="0" xfId="9" applyNumberFormat="1" applyFont="1" applyFill="1" applyBorder="1" applyAlignment="1">
      <alignment horizontal="left" vertical="center"/>
    </xf>
    <xf numFmtId="0" fontId="12" fillId="2" borderId="0" xfId="12" applyFont="1" applyFill="1" applyBorder="1" applyAlignment="1">
      <alignment horizontal="left" vertical="center"/>
    </xf>
    <xf numFmtId="4" fontId="12" fillId="2" borderId="0" xfId="12" applyNumberFormat="1" applyFont="1" applyFill="1" applyBorder="1" applyAlignment="1">
      <alignment horizontal="left" vertical="center"/>
    </xf>
    <xf numFmtId="15" fontId="12" fillId="2" borderId="0" xfId="12" applyNumberFormat="1" applyFont="1" applyFill="1" applyBorder="1" applyAlignment="1">
      <alignment horizontal="left" vertical="center"/>
    </xf>
    <xf numFmtId="2" fontId="12" fillId="2" borderId="0" xfId="12" applyNumberFormat="1" applyFont="1" applyFill="1" applyBorder="1" applyAlignment="1">
      <alignment horizontal="left" vertical="center"/>
    </xf>
    <xf numFmtId="2" fontId="12" fillId="2" borderId="0" xfId="13" applyNumberFormat="1" applyFont="1" applyFill="1" applyBorder="1" applyAlignment="1" applyProtection="1">
      <alignment horizontal="left" vertical="center"/>
    </xf>
    <xf numFmtId="164" fontId="12" fillId="2" borderId="0" xfId="12" applyNumberFormat="1" applyFont="1" applyFill="1" applyBorder="1" applyAlignment="1">
      <alignment horizontal="left" vertical="center"/>
    </xf>
    <xf numFmtId="164" fontId="12" fillId="2" borderId="0" xfId="13" applyFont="1" applyFill="1" applyBorder="1" applyAlignment="1" applyProtection="1">
      <alignment horizontal="left" vertical="center"/>
    </xf>
    <xf numFmtId="168" fontId="12" fillId="2" borderId="0" xfId="3" applyNumberFormat="1" applyFont="1" applyFill="1" applyBorder="1" applyAlignment="1">
      <alignment horizontal="left" vertical="center"/>
    </xf>
    <xf numFmtId="15" fontId="15" fillId="2" borderId="0" xfId="9" applyNumberFormat="1" applyFont="1" applyFill="1" applyBorder="1" applyAlignment="1">
      <alignment horizontal="left" vertical="center"/>
    </xf>
    <xf numFmtId="15" fontId="14" fillId="2" borderId="1" xfId="12" applyNumberFormat="1" applyFont="1" applyFill="1" applyBorder="1" applyAlignment="1">
      <alignment horizontal="left" vertical="center"/>
    </xf>
    <xf numFmtId="0" fontId="14" fillId="2" borderId="1" xfId="12" applyFont="1" applyFill="1" applyBorder="1" applyAlignment="1">
      <alignment horizontal="left" vertical="center"/>
    </xf>
    <xf numFmtId="170" fontId="14" fillId="2" borderId="1" xfId="12" applyNumberFormat="1" applyFont="1" applyFill="1" applyBorder="1" applyAlignment="1">
      <alignment horizontal="left" vertical="center"/>
    </xf>
    <xf numFmtId="170" fontId="14" fillId="2" borderId="1" xfId="12" applyNumberFormat="1" applyFont="1" applyFill="1" applyBorder="1" applyAlignment="1">
      <alignment horizontal="left" vertical="center" wrapText="1"/>
    </xf>
    <xf numFmtId="0" fontId="17" fillId="2" borderId="1" xfId="12" applyFont="1" applyFill="1" applyBorder="1" applyAlignment="1">
      <alignment horizontal="left" vertical="center"/>
    </xf>
    <xf numFmtId="4" fontId="17" fillId="2" borderId="1" xfId="12" applyNumberFormat="1" applyFont="1" applyFill="1" applyBorder="1" applyAlignment="1">
      <alignment horizontal="left" vertical="center"/>
    </xf>
    <xf numFmtId="0" fontId="17" fillId="2" borderId="1" xfId="8" applyFont="1" applyFill="1" applyBorder="1" applyAlignment="1">
      <alignment horizontal="left"/>
    </xf>
    <xf numFmtId="15" fontId="15" fillId="2" borderId="0" xfId="12" applyNumberFormat="1" applyFont="1" applyFill="1" applyBorder="1" applyAlignment="1">
      <alignment horizontal="left" vertical="center"/>
    </xf>
    <xf numFmtId="0" fontId="12" fillId="2" borderId="2" xfId="8" applyFont="1" applyFill="1" applyBorder="1" applyAlignment="1">
      <alignment horizontal="left"/>
    </xf>
    <xf numFmtId="15" fontId="16" fillId="2" borderId="0" xfId="9" applyNumberFormat="1" applyFont="1" applyFill="1" applyBorder="1" applyAlignment="1">
      <alignment horizontal="left" vertical="center"/>
    </xf>
    <xf numFmtId="0" fontId="17" fillId="2" borderId="3" xfId="9" applyFont="1" applyFill="1" applyBorder="1" applyAlignment="1">
      <alignment horizontal="left" vertical="center"/>
    </xf>
    <xf numFmtId="0" fontId="17" fillId="2" borderId="1" xfId="10" applyFont="1" applyFill="1" applyBorder="1" applyAlignment="1">
      <alignment horizontal="left" vertical="center" wrapText="1"/>
    </xf>
    <xf numFmtId="176" fontId="12" fillId="2" borderId="2" xfId="9" applyNumberFormat="1" applyFont="1" applyFill="1" applyBorder="1" applyAlignment="1">
      <alignment horizontal="left" vertical="center"/>
    </xf>
    <xf numFmtId="4" fontId="16" fillId="2" borderId="0" xfId="9" applyNumberFormat="1" applyFont="1" applyFill="1" applyBorder="1" applyAlignment="1">
      <alignment horizontal="left" vertical="center"/>
    </xf>
    <xf numFmtId="169" fontId="12" fillId="2" borderId="2" xfId="1" applyNumberFormat="1" applyFont="1" applyFill="1" applyBorder="1" applyAlignment="1">
      <alignment horizontal="left" vertical="center"/>
    </xf>
    <xf numFmtId="2" fontId="12" fillId="2" borderId="0" xfId="8" applyNumberFormat="1" applyFont="1" applyFill="1" applyBorder="1" applyAlignment="1">
      <alignment horizontal="left"/>
    </xf>
    <xf numFmtId="0" fontId="15" fillId="2" borderId="0" xfId="9" applyFont="1" applyFill="1" applyBorder="1" applyAlignment="1">
      <alignment horizontal="left" vertical="center"/>
    </xf>
    <xf numFmtId="10" fontId="15" fillId="2" borderId="0" xfId="11" applyNumberFormat="1" applyFont="1" applyFill="1" applyBorder="1" applyAlignment="1">
      <alignment horizontal="left" vertical="center"/>
    </xf>
    <xf numFmtId="1" fontId="16" fillId="2" borderId="0" xfId="1" applyNumberFormat="1" applyFont="1" applyFill="1" applyBorder="1" applyAlignment="1">
      <alignment horizontal="left" vertical="center"/>
    </xf>
    <xf numFmtId="10" fontId="16" fillId="2" borderId="0" xfId="2" applyNumberFormat="1" applyFont="1" applyFill="1" applyBorder="1" applyAlignment="1">
      <alignment horizontal="left" vertical="center"/>
    </xf>
    <xf numFmtId="10" fontId="16" fillId="2" borderId="0" xfId="7" applyNumberFormat="1" applyFont="1" applyFill="1" applyBorder="1" applyAlignment="1">
      <alignment horizontal="left" vertical="center"/>
    </xf>
    <xf numFmtId="0" fontId="16" fillId="2" borderId="0" xfId="6" applyFont="1" applyFill="1" applyBorder="1" applyAlignment="1">
      <alignment horizontal="left" vertical="center"/>
    </xf>
    <xf numFmtId="169" fontId="12" fillId="2" borderId="3" xfId="1" applyNumberFormat="1" applyFont="1" applyFill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10" fontId="12" fillId="2" borderId="0" xfId="2" applyNumberFormat="1" applyFont="1" applyFill="1" applyBorder="1" applyAlignment="1">
      <alignment horizontal="left"/>
    </xf>
    <xf numFmtId="177" fontId="6" fillId="3" borderId="0" xfId="2" applyNumberFormat="1" applyFont="1" applyFill="1" applyBorder="1" applyAlignment="1" applyProtection="1">
      <alignment horizontal="center" vertical="center"/>
      <protection locked="0"/>
    </xf>
    <xf numFmtId="177" fontId="5" fillId="2" borderId="0" xfId="2" applyNumberFormat="1" applyFont="1" applyFill="1" applyBorder="1"/>
    <xf numFmtId="177" fontId="6" fillId="3" borderId="0" xfId="2" applyNumberFormat="1" applyFont="1" applyFill="1" applyBorder="1" applyAlignment="1" applyProtection="1">
      <alignment horizontal="left" vertical="center"/>
      <protection hidden="1"/>
    </xf>
    <xf numFmtId="177" fontId="13" fillId="2" borderId="0" xfId="2" applyNumberFormat="1" applyFont="1" applyFill="1" applyBorder="1"/>
    <xf numFmtId="10" fontId="5" fillId="2" borderId="0" xfId="0" applyNumberFormat="1" applyFont="1" applyFill="1" applyBorder="1"/>
    <xf numFmtId="10" fontId="10" fillId="4" borderId="0" xfId="0" applyNumberFormat="1" applyFont="1" applyFill="1" applyBorder="1" applyAlignment="1" applyProtection="1">
      <alignment horizontal="left" vertical="center"/>
      <protection hidden="1"/>
    </xf>
    <xf numFmtId="10" fontId="13" fillId="2" borderId="0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169" fontId="12" fillId="2" borderId="0" xfId="1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vertical="center"/>
      <protection hidden="1"/>
    </xf>
    <xf numFmtId="178" fontId="15" fillId="2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" fontId="10" fillId="4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Border="1" applyAlignment="1"/>
    <xf numFmtId="0" fontId="20" fillId="0" borderId="0" xfId="0" applyFont="1" applyAlignment="1"/>
    <xf numFmtId="0" fontId="22" fillId="6" borderId="0" xfId="0" applyFont="1" applyFill="1" applyBorder="1" applyAlignment="1" applyProtection="1">
      <alignment horizontal="left" vertical="center"/>
      <protection hidden="1"/>
    </xf>
    <xf numFmtId="175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11" fillId="6" borderId="0" xfId="0" applyFont="1" applyFill="1" applyBorder="1" applyAlignment="1">
      <alignment horizontal="left" wrapText="1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17" fillId="2" borderId="1" xfId="9" applyFont="1" applyFill="1" applyBorder="1" applyAlignment="1">
      <alignment horizontal="left" vertical="center"/>
    </xf>
    <xf numFmtId="0" fontId="17" fillId="2" borderId="1" xfId="7" applyFont="1" applyFill="1" applyBorder="1" applyAlignment="1">
      <alignment horizontal="left" vertical="center"/>
    </xf>
    <xf numFmtId="0" fontId="17" fillId="2" borderId="4" xfId="7" applyFont="1" applyFill="1" applyBorder="1" applyAlignment="1">
      <alignment horizontal="left" vertical="center"/>
    </xf>
    <xf numFmtId="168" fontId="6" fillId="3" borderId="0" xfId="1" applyNumberFormat="1" applyFont="1" applyFill="1" applyBorder="1" applyAlignment="1" applyProtection="1">
      <alignment vertical="center"/>
      <protection locked="0" hidden="1"/>
    </xf>
  </cellXfs>
  <cellStyles count="14">
    <cellStyle name="Cambiar to&amp;do" xfId="6"/>
    <cellStyle name="Cambiar to&amp;do 2" xfId="10"/>
    <cellStyle name="Millares" xfId="1" builtinId="3"/>
    <cellStyle name="Millares 16" xfId="13"/>
    <cellStyle name="Millares 2" xfId="3"/>
    <cellStyle name="Millares 2 2" xfId="4"/>
    <cellStyle name="Normal" xfId="0" builtinId="0"/>
    <cellStyle name="Normal 2" xfId="5"/>
    <cellStyle name="Normal 3" xfId="8"/>
    <cellStyle name="Normal 5" xfId="12"/>
    <cellStyle name="Normal_Excel Bloomberg (Títulos y ONs Bancos) NOBACS" xfId="7"/>
    <cellStyle name="Normal_Excel Bloomberg (Títulos y ONs Bancos) NOBACS 2" xfId="9"/>
    <cellStyle name="Porcentaje" xfId="2" builtinId="5"/>
    <cellStyle name="Porcentaje 2" xfId="11"/>
  </cellStyles>
  <dxfs count="0"/>
  <tableStyles count="0" defaultTableStyle="TableStyleMedium9" defaultPivotStyle="PivotStyleLight16"/>
  <colors>
    <mruColors>
      <color rgb="FFA8C227"/>
      <color rgb="FFE1EDA5"/>
      <color rgb="FF003399"/>
      <color rgb="FFFF6600"/>
      <color rgb="FF006600"/>
      <color rgb="FF025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abSelected="1" topLeftCell="A10" zoomScaleNormal="100" workbookViewId="0">
      <selection activeCell="D18" sqref="D18"/>
    </sheetView>
  </sheetViews>
  <sheetFormatPr baseColWidth="10" defaultColWidth="11.42578125" defaultRowHeight="12" x14ac:dyDescent="0.2"/>
  <cols>
    <col min="1" max="1" width="2.42578125" style="1" customWidth="1"/>
    <col min="2" max="2" width="6" style="1" customWidth="1"/>
    <col min="3" max="3" width="19.140625" style="1" customWidth="1"/>
    <col min="4" max="4" width="17.85546875" style="1" bestFit="1" customWidth="1"/>
    <col min="5" max="5" width="5.7109375" style="1" customWidth="1"/>
    <col min="6" max="6" width="19.85546875" style="1" customWidth="1"/>
    <col min="7" max="7" width="17" style="1" customWidth="1"/>
    <col min="8" max="8" width="5.140625" style="1" customWidth="1"/>
    <col min="9" max="9" width="18.7109375" style="1" customWidth="1"/>
    <col min="10" max="11" width="15.42578125" style="1" customWidth="1"/>
    <col min="12" max="16384" width="11.42578125" style="1"/>
  </cols>
  <sheetData>
    <row r="1" spans="3:13" ht="6" customHeight="1" x14ac:dyDescent="0.2"/>
    <row r="2" spans="3:13" x14ac:dyDescent="0.2">
      <c r="C2" s="141" t="s">
        <v>48</v>
      </c>
      <c r="D2" s="141"/>
      <c r="F2" s="141" t="s">
        <v>50</v>
      </c>
      <c r="G2" s="141"/>
      <c r="I2" s="141" t="s">
        <v>51</v>
      </c>
      <c r="J2" s="141"/>
    </row>
    <row r="3" spans="3:13" ht="6.75" customHeight="1" x14ac:dyDescent="0.2">
      <c r="C3" s="30"/>
      <c r="D3" s="2"/>
      <c r="F3" s="30"/>
      <c r="G3" s="2"/>
      <c r="I3" s="30"/>
      <c r="J3" s="2"/>
    </row>
    <row r="4" spans="3:13" ht="15" x14ac:dyDescent="0.25">
      <c r="C4" s="28" t="s">
        <v>47</v>
      </c>
      <c r="D4" s="24">
        <v>44351</v>
      </c>
      <c r="F4" s="28" t="str">
        <f>I4</f>
        <v>Fecha de Suscripción</v>
      </c>
      <c r="G4" s="24">
        <f>J4</f>
        <v>44351</v>
      </c>
      <c r="H4" s="4"/>
      <c r="I4" s="28" t="str">
        <f>C4</f>
        <v>Fecha de Suscripción</v>
      </c>
      <c r="J4" s="24">
        <f>D4</f>
        <v>44351</v>
      </c>
      <c r="K4"/>
    </row>
    <row r="5" spans="3:13" x14ac:dyDescent="0.2">
      <c r="C5" s="28" t="s">
        <v>15</v>
      </c>
      <c r="D5" s="24">
        <f>WORKDAY(D4,4)</f>
        <v>44357</v>
      </c>
      <c r="F5" s="28" t="s">
        <v>15</v>
      </c>
      <c r="G5" s="24">
        <f>J5</f>
        <v>44357</v>
      </c>
      <c r="H5" s="4"/>
      <c r="I5" s="28" t="s">
        <v>15</v>
      </c>
      <c r="J5" s="24">
        <f>D5</f>
        <v>44357</v>
      </c>
    </row>
    <row r="6" spans="3:13" ht="12.75" x14ac:dyDescent="0.2">
      <c r="C6" s="29" t="s">
        <v>12</v>
      </c>
      <c r="D6" s="24">
        <f>+EDATE(D5,24)</f>
        <v>45087</v>
      </c>
      <c r="F6" s="29" t="s">
        <v>12</v>
      </c>
      <c r="G6" s="24">
        <f>+EDATE(G5,12)</f>
        <v>44722</v>
      </c>
      <c r="H6" s="4"/>
      <c r="I6" s="28" t="s">
        <v>12</v>
      </c>
      <c r="J6" s="24">
        <f>+EDATE(J5,24)</f>
        <v>45087</v>
      </c>
      <c r="K6" s="117"/>
    </row>
    <row r="7" spans="3:13" ht="5.25" customHeight="1" x14ac:dyDescent="0.2">
      <c r="C7" s="29"/>
      <c r="D7" s="3"/>
      <c r="F7" s="29"/>
      <c r="G7" s="24"/>
      <c r="H7" s="4"/>
      <c r="I7" s="28"/>
      <c r="J7" s="3"/>
    </row>
    <row r="8" spans="3:13" ht="14.25" customHeight="1" x14ac:dyDescent="0.2">
      <c r="C8" s="29" t="str">
        <f>F8</f>
        <v>Tipo de Cupón</v>
      </c>
      <c r="D8" s="3" t="s">
        <v>46</v>
      </c>
      <c r="F8" s="29" t="s">
        <v>30</v>
      </c>
      <c r="G8" s="24" t="s">
        <v>32</v>
      </c>
      <c r="H8" s="4"/>
      <c r="I8" s="28" t="str">
        <f>C8</f>
        <v>Tipo de Cupón</v>
      </c>
      <c r="J8" s="3" t="s">
        <v>33</v>
      </c>
    </row>
    <row r="9" spans="3:13" x14ac:dyDescent="0.2">
      <c r="C9" s="29" t="str">
        <f>F9</f>
        <v>Frecuencia</v>
      </c>
      <c r="D9" s="6" t="s">
        <v>21</v>
      </c>
      <c r="F9" s="29" t="s">
        <v>31</v>
      </c>
      <c r="G9" s="14" t="s">
        <v>21</v>
      </c>
      <c r="I9" s="29" t="str">
        <f>C9</f>
        <v>Frecuencia</v>
      </c>
      <c r="J9" s="6" t="s">
        <v>21</v>
      </c>
    </row>
    <row r="10" spans="3:13" x14ac:dyDescent="0.2">
      <c r="C10" s="29" t="s">
        <v>4</v>
      </c>
      <c r="D10" s="35">
        <v>100</v>
      </c>
      <c r="F10" s="29" t="s">
        <v>4</v>
      </c>
      <c r="G10" s="35">
        <v>100</v>
      </c>
      <c r="I10" s="29" t="s">
        <v>4</v>
      </c>
      <c r="J10" s="35">
        <v>100</v>
      </c>
      <c r="K10" s="119"/>
    </row>
    <row r="11" spans="3:13" x14ac:dyDescent="0.2">
      <c r="C11" s="137" t="str">
        <f>F11</f>
        <v>Plazo</v>
      </c>
      <c r="D11" s="25">
        <v>24</v>
      </c>
      <c r="F11" s="29" t="s">
        <v>0</v>
      </c>
      <c r="G11" s="25">
        <v>12</v>
      </c>
      <c r="I11" s="29" t="str">
        <f>F11</f>
        <v>Plazo</v>
      </c>
      <c r="J11" s="129">
        <v>24</v>
      </c>
    </row>
    <row r="12" spans="3:13" ht="11.25" customHeight="1" x14ac:dyDescent="0.2">
      <c r="C12" s="137" t="s">
        <v>62</v>
      </c>
      <c r="D12" s="138">
        <v>94.814999999999998</v>
      </c>
      <c r="F12" s="29" t="s">
        <v>20</v>
      </c>
      <c r="G12" s="20" t="s">
        <v>64</v>
      </c>
      <c r="I12" s="29" t="str">
        <f>F12</f>
        <v>Calificación</v>
      </c>
      <c r="J12" s="16" t="s">
        <v>65</v>
      </c>
    </row>
    <row r="13" spans="3:13" x14ac:dyDescent="0.2">
      <c r="C13" s="29" t="s">
        <v>20</v>
      </c>
      <c r="D13" s="32" t="s">
        <v>63</v>
      </c>
      <c r="F13" s="29"/>
      <c r="G13" s="14"/>
      <c r="I13" s="29"/>
      <c r="J13" s="6"/>
    </row>
    <row r="14" spans="3:13" x14ac:dyDescent="0.2">
      <c r="C14" s="29" t="s">
        <v>13</v>
      </c>
      <c r="D14" s="5">
        <f>'Clase 19 DL'!C17</f>
        <v>2</v>
      </c>
      <c r="F14" s="29" t="s">
        <v>13</v>
      </c>
      <c r="G14" s="26">
        <f>'Clase 20 Badlar'!C14</f>
        <v>1</v>
      </c>
      <c r="I14" s="29" t="s">
        <v>13</v>
      </c>
      <c r="J14" s="5">
        <f>'Clase 21 USD'!C13</f>
        <v>2</v>
      </c>
    </row>
    <row r="15" spans="3:13" ht="12.75" customHeight="1" x14ac:dyDescent="0.2">
      <c r="C15" s="29" t="s">
        <v>14</v>
      </c>
      <c r="D15" s="15">
        <f>'Clase 19 DL'!C16</f>
        <v>1.9181494285236609</v>
      </c>
      <c r="F15" s="29" t="s">
        <v>14</v>
      </c>
      <c r="G15" s="26">
        <f>'Clase 20 Badlar'!C13</f>
        <v>0.87549979436471603</v>
      </c>
      <c r="I15" s="29" t="s">
        <v>14</v>
      </c>
      <c r="J15" s="5">
        <f>'Clase 21 USD'!C12</f>
        <v>1.9181062303363807</v>
      </c>
      <c r="M15" s="19"/>
    </row>
    <row r="16" spans="3:13" ht="9" customHeight="1" x14ac:dyDescent="0.2">
      <c r="C16" s="7"/>
      <c r="F16" s="7"/>
      <c r="G16" s="27"/>
    </row>
    <row r="17" spans="3:13" ht="12" hidden="1" customHeight="1" x14ac:dyDescent="0.2">
      <c r="C17" s="8" t="s">
        <v>7</v>
      </c>
      <c r="D17" s="9">
        <v>1000000</v>
      </c>
      <c r="F17" s="8" t="s">
        <v>7</v>
      </c>
      <c r="G17" s="9">
        <v>1000000</v>
      </c>
      <c r="I17" s="10" t="s">
        <v>7</v>
      </c>
      <c r="J17" s="9">
        <v>1000000</v>
      </c>
    </row>
    <row r="18" spans="3:13" x14ac:dyDescent="0.2">
      <c r="C18" s="8" t="s">
        <v>45</v>
      </c>
      <c r="D18" s="121">
        <v>0.05</v>
      </c>
      <c r="E18" s="122"/>
      <c r="F18" s="123" t="s">
        <v>17</v>
      </c>
      <c r="G18" s="121">
        <v>4.4999999999999998E-2</v>
      </c>
      <c r="H18" s="124"/>
      <c r="I18" s="123" t="s">
        <v>8</v>
      </c>
      <c r="J18" s="121">
        <v>0.05</v>
      </c>
    </row>
    <row r="19" spans="3:13" x14ac:dyDescent="0.2">
      <c r="C19" s="31"/>
      <c r="D19" s="31"/>
      <c r="F19" s="8" t="s">
        <v>18</v>
      </c>
      <c r="G19" s="121">
        <f>+'Clase 20 Badlar'!C7</f>
        <v>0.34062500000000001</v>
      </c>
      <c r="H19" s="17"/>
      <c r="I19" s="10"/>
      <c r="J19" s="11"/>
    </row>
    <row r="20" spans="3:13" x14ac:dyDescent="0.2">
      <c r="C20" s="12" t="s">
        <v>19</v>
      </c>
      <c r="D20" s="13">
        <f>'Clase 19 DL'!C8</f>
        <v>4.9999967176322713E-2</v>
      </c>
      <c r="E20" s="125"/>
      <c r="F20" s="126" t="s">
        <v>19</v>
      </c>
      <c r="G20" s="13">
        <f>'Clase 20 Badlar'!C11</f>
        <v>0.38562068853040277</v>
      </c>
      <c r="H20" s="127"/>
      <c r="I20" s="126" t="s">
        <v>19</v>
      </c>
      <c r="J20" s="13">
        <f>'Clase 21 USD'!C9</f>
        <v>5.0945302844047552E-2</v>
      </c>
    </row>
    <row r="21" spans="3:13" x14ac:dyDescent="0.2">
      <c r="C21" s="12" t="s">
        <v>5</v>
      </c>
      <c r="D21" s="13">
        <f>'Clase 19 DL'!C9</f>
        <v>5.0945302844047552E-2</v>
      </c>
      <c r="E21" s="125"/>
      <c r="F21" s="126" t="s">
        <v>5</v>
      </c>
      <c r="G21" s="13">
        <f>'Clase 20 Badlar'!C12</f>
        <v>0.44505475163459773</v>
      </c>
      <c r="H21" s="125"/>
      <c r="I21" s="126" t="s">
        <v>5</v>
      </c>
      <c r="J21" s="13">
        <f>'Clase 21 USD'!C10</f>
        <v>4.9999967176322713E-2</v>
      </c>
      <c r="M21" s="18"/>
    </row>
    <row r="22" spans="3:13" hidden="1" x14ac:dyDescent="0.2">
      <c r="C22" s="118" t="s">
        <v>49</v>
      </c>
      <c r="G22" s="14"/>
      <c r="I22" s="1" t="s">
        <v>52</v>
      </c>
    </row>
    <row r="23" spans="3:13" x14ac:dyDescent="0.2">
      <c r="G23" s="14"/>
    </row>
    <row r="24" spans="3:13" x14ac:dyDescent="0.2">
      <c r="C24" s="139" t="s">
        <v>58</v>
      </c>
      <c r="D24" s="139"/>
      <c r="G24" s="14"/>
      <c r="I24" s="139" t="s">
        <v>54</v>
      </c>
      <c r="J24" s="139"/>
    </row>
    <row r="25" spans="3:13" x14ac:dyDescent="0.2">
      <c r="C25" s="130" t="s">
        <v>53</v>
      </c>
      <c r="D25" s="131">
        <v>1</v>
      </c>
      <c r="G25" s="14"/>
      <c r="I25" s="130" t="s">
        <v>53</v>
      </c>
      <c r="J25" s="131">
        <v>1</v>
      </c>
    </row>
    <row r="26" spans="3:13" x14ac:dyDescent="0.2">
      <c r="C26" s="132" t="s">
        <v>55</v>
      </c>
      <c r="D26" s="145">
        <v>1000000</v>
      </c>
      <c r="G26" s="14"/>
      <c r="I26" s="132" t="s">
        <v>60</v>
      </c>
      <c r="J26" s="145">
        <v>1000000</v>
      </c>
    </row>
    <row r="27" spans="3:13" x14ac:dyDescent="0.2">
      <c r="C27" s="133" t="s">
        <v>56</v>
      </c>
      <c r="D27" s="134">
        <f>+ROUNDDOWN(D26*D25/D10*100,0)</f>
        <v>1000000</v>
      </c>
      <c r="G27" s="14"/>
      <c r="I27" s="133" t="s">
        <v>61</v>
      </c>
      <c r="J27" s="134">
        <f>+ROUNDDOWN(J26*J25/J10*100,0)</f>
        <v>1000000</v>
      </c>
    </row>
    <row r="28" spans="3:13" ht="7.5" customHeight="1" x14ac:dyDescent="0.2">
      <c r="C28" s="136"/>
      <c r="D28" s="135"/>
      <c r="G28" s="14"/>
      <c r="I28" s="135"/>
      <c r="J28" s="135"/>
    </row>
    <row r="29" spans="3:13" x14ac:dyDescent="0.2">
      <c r="C29" s="139" t="s">
        <v>59</v>
      </c>
      <c r="D29" s="139"/>
      <c r="G29" s="14"/>
      <c r="I29" s="135"/>
      <c r="J29" s="135"/>
    </row>
    <row r="30" spans="3:13" x14ac:dyDescent="0.2">
      <c r="C30" s="130" t="s">
        <v>53</v>
      </c>
      <c r="D30" s="131">
        <v>1</v>
      </c>
      <c r="G30" s="14"/>
    </row>
    <row r="31" spans="3:13" x14ac:dyDescent="0.2">
      <c r="C31" s="132" t="s">
        <v>57</v>
      </c>
      <c r="D31" s="145">
        <v>1000000</v>
      </c>
      <c r="G31" s="14"/>
    </row>
    <row r="32" spans="3:13" x14ac:dyDescent="0.2">
      <c r="C32" s="133" t="s">
        <v>56</v>
      </c>
      <c r="D32" s="134">
        <f>+ROUNDDOWN(D31*D30/D10*100,0)</f>
        <v>1000000</v>
      </c>
      <c r="G32" s="14"/>
    </row>
    <row r="33" spans="2:11" ht="3.75" customHeight="1" x14ac:dyDescent="0.2">
      <c r="C33" s="136"/>
      <c r="D33" s="135"/>
      <c r="G33" s="14"/>
    </row>
    <row r="34" spans="2:11" hidden="1" x14ac:dyDescent="0.2"/>
    <row r="35" spans="2:11" hidden="1" x14ac:dyDescent="0.2"/>
    <row r="36" spans="2:11" ht="8.25" hidden="1" customHeight="1" x14ac:dyDescent="0.2"/>
    <row r="37" spans="2:11" hidden="1" x14ac:dyDescent="0.2"/>
    <row r="38" spans="2:11" hidden="1" x14ac:dyDescent="0.2"/>
    <row r="39" spans="2:11" hidden="1" x14ac:dyDescent="0.2"/>
    <row r="40" spans="2:11" ht="9" hidden="1" customHeight="1" x14ac:dyDescent="0.2"/>
    <row r="41" spans="2:11" hidden="1" x14ac:dyDescent="0.2"/>
    <row r="42" spans="2:11" ht="14.1" hidden="1" customHeight="1" x14ac:dyDescent="0.2"/>
    <row r="43" spans="2:11" ht="2.25" customHeight="1" x14ac:dyDescent="0.2"/>
    <row r="44" spans="2:11" ht="7.5" hidden="1" customHeight="1" x14ac:dyDescent="0.2">
      <c r="C44" s="140" t="s">
        <v>9</v>
      </c>
      <c r="D44" s="140"/>
      <c r="E44" s="140"/>
      <c r="F44" s="140"/>
      <c r="G44" s="140"/>
      <c r="H44" s="140"/>
      <c r="I44" s="140"/>
      <c r="J44" s="140"/>
      <c r="K44" s="128"/>
    </row>
    <row r="45" spans="2:11" ht="7.5" hidden="1" customHeight="1" x14ac:dyDescent="0.2">
      <c r="B45" s="34"/>
      <c r="C45" s="140"/>
      <c r="D45" s="140"/>
      <c r="E45" s="140"/>
      <c r="F45" s="140"/>
      <c r="G45" s="140"/>
      <c r="H45" s="140"/>
      <c r="I45" s="140"/>
      <c r="J45" s="140"/>
      <c r="K45" s="128"/>
    </row>
    <row r="46" spans="2:11" ht="42" customHeight="1" x14ac:dyDescent="0.2">
      <c r="B46" s="34"/>
      <c r="C46" s="140"/>
      <c r="D46" s="140"/>
      <c r="E46" s="140"/>
      <c r="F46" s="140"/>
      <c r="G46" s="140"/>
      <c r="H46" s="140"/>
      <c r="I46" s="140"/>
      <c r="J46" s="140"/>
      <c r="K46" s="128"/>
    </row>
  </sheetData>
  <sheetProtection algorithmName="SHA-512" hashValue="h453Xl7bF8jfbEsKLa+RYQLpw05B4wvppB/HgKLzS45p1K7Z+r5+pWnYStuZ4SzHRMm6O2zsHSBOjP1FCUrzkQ==" saltValue="6olsFU12XGSfX8OQBFeW7A==" spinCount="100000" sheet="1" selectLockedCells="1"/>
  <mergeCells count="7">
    <mergeCell ref="C29:D29"/>
    <mergeCell ref="C44:J46"/>
    <mergeCell ref="I2:J2"/>
    <mergeCell ref="C2:D2"/>
    <mergeCell ref="F2:G2"/>
    <mergeCell ref="C24:D24"/>
    <mergeCell ref="I24:J24"/>
  </mergeCells>
  <pageMargins left="0.7" right="0.7" top="0.75" bottom="0.75" header="0.3" footer="0.3"/>
  <pageSetup paperSize="9" orientation="portrait" r:id="rId1"/>
  <ignoredErrors>
    <ignoredError sqref="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sqref="A1:XFD1048576"/>
    </sheetView>
  </sheetViews>
  <sheetFormatPr baseColWidth="10" defaultColWidth="14.7109375" defaultRowHeight="12" x14ac:dyDescent="0.2"/>
  <cols>
    <col min="1" max="2" width="14.7109375" style="61"/>
    <col min="3" max="3" width="9.42578125" style="61" customWidth="1"/>
    <col min="4" max="4" width="3.42578125" style="102" customWidth="1"/>
    <col min="5" max="5" width="14.7109375" style="67"/>
    <col min="6" max="6" width="10.28515625" style="67" customWidth="1"/>
    <col min="7" max="7" width="7.7109375" style="67" customWidth="1"/>
    <col min="8" max="8" width="11.28515625" style="67" customWidth="1"/>
    <col min="9" max="9" width="9.28515625" style="67" customWidth="1"/>
    <col min="10" max="10" width="10.42578125" style="67" customWidth="1"/>
    <col min="11" max="16384" width="14.7109375" style="61"/>
  </cols>
  <sheetData>
    <row r="1" spans="1:14" ht="6.75" customHeight="1" x14ac:dyDescent="0.2"/>
    <row r="2" spans="1:14" x14ac:dyDescent="0.2">
      <c r="A2" s="142" t="str">
        <f>CGC!C2</f>
        <v xml:space="preserve">ON CLASE 19- Dólar Linked </v>
      </c>
      <c r="B2" s="142"/>
      <c r="C2" s="142"/>
      <c r="D2" s="104" t="s">
        <v>40</v>
      </c>
      <c r="E2" s="74" t="s">
        <v>42</v>
      </c>
      <c r="F2" s="74" t="s">
        <v>44</v>
      </c>
      <c r="G2" s="74" t="s">
        <v>10</v>
      </c>
      <c r="H2" s="74" t="s">
        <v>1</v>
      </c>
      <c r="I2" s="74" t="s">
        <v>2</v>
      </c>
      <c r="J2" s="105" t="s">
        <v>3</v>
      </c>
      <c r="K2" s="81"/>
    </row>
    <row r="3" spans="1:14" x14ac:dyDescent="0.2">
      <c r="A3" s="71" t="s">
        <v>4</v>
      </c>
      <c r="B3" s="71"/>
      <c r="C3" s="71">
        <v>100</v>
      </c>
      <c r="D3" s="106"/>
      <c r="E3" s="103">
        <f>+C4</f>
        <v>44357</v>
      </c>
      <c r="F3" s="103"/>
      <c r="G3" s="103"/>
      <c r="H3" s="70"/>
      <c r="I3" s="70"/>
      <c r="J3" s="107">
        <f>-C3</f>
        <v>-100</v>
      </c>
      <c r="K3" s="51"/>
    </row>
    <row r="4" spans="1:14" ht="12.75" x14ac:dyDescent="0.2">
      <c r="A4" s="62" t="s">
        <v>11</v>
      </c>
      <c r="B4" s="62"/>
      <c r="C4" s="63">
        <f>CGC!D5</f>
        <v>44357</v>
      </c>
      <c r="D4" s="108">
        <v>0</v>
      </c>
      <c r="E4" s="63">
        <f>+E3</f>
        <v>44357</v>
      </c>
      <c r="F4" s="76">
        <f>E4-E3</f>
        <v>0</v>
      </c>
      <c r="G4" s="46"/>
      <c r="H4" s="66"/>
      <c r="I4" s="66"/>
      <c r="J4" s="66"/>
      <c r="K4" s="52"/>
      <c r="L4" s="79">
        <f>(SUM(L5:L28))/100</f>
        <v>1.0496833275487185</v>
      </c>
      <c r="M4" s="80"/>
    </row>
    <row r="5" spans="1:14" ht="12.75" x14ac:dyDescent="0.2">
      <c r="A5" s="62" t="s">
        <v>12</v>
      </c>
      <c r="B5" s="62"/>
      <c r="C5" s="63">
        <f>+EDATE(C4,24)</f>
        <v>45087</v>
      </c>
      <c r="D5" s="108">
        <f>D4+1</f>
        <v>1</v>
      </c>
      <c r="E5" s="63">
        <f>+EDATE(E4,3)</f>
        <v>44449</v>
      </c>
      <c r="F5" s="76">
        <f>E5-$E$3</f>
        <v>92</v>
      </c>
      <c r="G5" s="46">
        <f>$C$6</f>
        <v>0.05</v>
      </c>
      <c r="H5" s="66">
        <v>0</v>
      </c>
      <c r="I5" s="50">
        <f>+YEARFRAC(E4,E5,3)*(G5)*100</f>
        <v>1.2602739726027399</v>
      </c>
      <c r="J5" s="109">
        <f>H5+I5</f>
        <v>1.2602739726027399</v>
      </c>
      <c r="K5" s="52"/>
      <c r="L5" s="77">
        <f>+J5/((1+$C$8)^(F5/$F$12))</f>
        <v>1.252548458235146</v>
      </c>
      <c r="M5" s="80">
        <f t="shared" ref="M5:M7" si="0">L5/100</f>
        <v>1.252548458235146E-2</v>
      </c>
      <c r="N5" s="78"/>
    </row>
    <row r="6" spans="1:14" ht="12.75" x14ac:dyDescent="0.2">
      <c r="A6" s="62" t="s">
        <v>35</v>
      </c>
      <c r="B6" s="62"/>
      <c r="C6" s="64">
        <f>CGC!D18</f>
        <v>0.05</v>
      </c>
      <c r="D6" s="108">
        <f t="shared" ref="D6:D12" si="1">D5+1</f>
        <v>2</v>
      </c>
      <c r="E6" s="63">
        <f t="shared" ref="E6:E12" si="2">+EDATE(E5,3)</f>
        <v>44540</v>
      </c>
      <c r="F6" s="76">
        <f t="shared" ref="F6:F11" si="3">E6-$E$3</f>
        <v>183</v>
      </c>
      <c r="G6" s="46">
        <f t="shared" ref="G6:G12" si="4">$C$6</f>
        <v>0.05</v>
      </c>
      <c r="H6" s="66">
        <v>0</v>
      </c>
      <c r="I6" s="50">
        <f t="shared" ref="I6:I11" si="5">+YEARFRAC(E5,E6,3)*(G6)*100</f>
        <v>1.2465753424657535</v>
      </c>
      <c r="J6" s="109">
        <f t="shared" ref="J6:J11" si="6">H6+I6</f>
        <v>1.2465753424657535</v>
      </c>
      <c r="K6" s="52"/>
      <c r="L6" s="77">
        <f t="shared" ref="L6:L12" si="7">+J6/((1+$C$8)^(F6/$F$12))</f>
        <v>1.2314214028378994</v>
      </c>
      <c r="M6" s="80">
        <f t="shared" si="0"/>
        <v>1.2314214028378994E-2</v>
      </c>
    </row>
    <row r="7" spans="1:14" ht="12.75" x14ac:dyDescent="0.2">
      <c r="D7" s="108">
        <f t="shared" si="1"/>
        <v>3</v>
      </c>
      <c r="E7" s="63">
        <f t="shared" si="2"/>
        <v>44630</v>
      </c>
      <c r="F7" s="76">
        <f t="shared" si="3"/>
        <v>273</v>
      </c>
      <c r="G7" s="46">
        <f t="shared" si="4"/>
        <v>0.05</v>
      </c>
      <c r="H7" s="66">
        <v>0</v>
      </c>
      <c r="I7" s="50">
        <f t="shared" si="5"/>
        <v>1.2328767123287672</v>
      </c>
      <c r="J7" s="109">
        <f t="shared" si="6"/>
        <v>1.2328767123287672</v>
      </c>
      <c r="K7" s="52"/>
      <c r="L7" s="77">
        <f t="shared" si="7"/>
        <v>1.2105854144334491</v>
      </c>
      <c r="M7" s="80">
        <f t="shared" si="0"/>
        <v>1.2105854144334492E-2</v>
      </c>
    </row>
    <row r="8" spans="1:14" ht="12.75" x14ac:dyDescent="0.2">
      <c r="A8" s="65" t="s">
        <v>43</v>
      </c>
      <c r="B8" s="65"/>
      <c r="C8" s="64">
        <f>NOMINAL(C9,4)</f>
        <v>4.9999967176322713E-2</v>
      </c>
      <c r="D8" s="108">
        <f t="shared" si="1"/>
        <v>4</v>
      </c>
      <c r="E8" s="63">
        <f t="shared" si="2"/>
        <v>44722</v>
      </c>
      <c r="F8" s="76">
        <f t="shared" si="3"/>
        <v>365</v>
      </c>
      <c r="G8" s="46">
        <f t="shared" si="4"/>
        <v>0.05</v>
      </c>
      <c r="H8" s="66">
        <v>0</v>
      </c>
      <c r="I8" s="50">
        <f t="shared" si="5"/>
        <v>1.2602739726027399</v>
      </c>
      <c r="J8" s="109">
        <f t="shared" si="6"/>
        <v>1.2602739726027399</v>
      </c>
      <c r="K8" s="52"/>
      <c r="L8" s="77">
        <f t="shared" si="7"/>
        <v>1.2299014810219084</v>
      </c>
      <c r="M8" s="80">
        <f t="shared" ref="M8:M11" si="8">L8/100</f>
        <v>1.2299014810219085E-2</v>
      </c>
    </row>
    <row r="9" spans="1:14" ht="12.75" x14ac:dyDescent="0.2">
      <c r="A9" s="65" t="s">
        <v>6</v>
      </c>
      <c r="B9" s="65"/>
      <c r="C9" s="64">
        <f>+XIRR(J3:J12,E3:E12)</f>
        <v>5.0945302844047552E-2</v>
      </c>
      <c r="D9" s="108">
        <f t="shared" si="1"/>
        <v>5</v>
      </c>
      <c r="E9" s="63">
        <f t="shared" si="2"/>
        <v>44814</v>
      </c>
      <c r="F9" s="76">
        <f t="shared" si="3"/>
        <v>457</v>
      </c>
      <c r="G9" s="46">
        <f t="shared" si="4"/>
        <v>0.05</v>
      </c>
      <c r="H9" s="66">
        <v>0</v>
      </c>
      <c r="I9" s="50">
        <f t="shared" si="5"/>
        <v>1.2602739726027399</v>
      </c>
      <c r="J9" s="109">
        <f t="shared" si="6"/>
        <v>1.2602739726027399</v>
      </c>
      <c r="K9" s="52"/>
      <c r="L9" s="77">
        <f t="shared" si="7"/>
        <v>1.2223621508691667</v>
      </c>
      <c r="M9" s="80">
        <f t="shared" si="8"/>
        <v>1.2223621508691667E-2</v>
      </c>
    </row>
    <row r="10" spans="1:14" ht="15" customHeight="1" x14ac:dyDescent="0.2">
      <c r="A10" s="65"/>
      <c r="B10" s="65"/>
      <c r="C10" s="64"/>
      <c r="D10" s="108">
        <f t="shared" si="1"/>
        <v>6</v>
      </c>
      <c r="E10" s="63">
        <f t="shared" si="2"/>
        <v>44905</v>
      </c>
      <c r="F10" s="76">
        <f t="shared" si="3"/>
        <v>548</v>
      </c>
      <c r="G10" s="46">
        <f t="shared" si="4"/>
        <v>0.05</v>
      </c>
      <c r="H10" s="66">
        <v>0</v>
      </c>
      <c r="I10" s="50">
        <f t="shared" si="5"/>
        <v>1.2465753424657535</v>
      </c>
      <c r="J10" s="109">
        <f t="shared" si="6"/>
        <v>1.2465753424657535</v>
      </c>
      <c r="K10" s="52"/>
      <c r="L10" s="77">
        <f t="shared" si="7"/>
        <v>1.2017442556435418</v>
      </c>
      <c r="M10" s="80">
        <f t="shared" si="8"/>
        <v>1.2017442556435418E-2</v>
      </c>
    </row>
    <row r="11" spans="1:14" ht="14.25" customHeight="1" x14ac:dyDescent="0.2">
      <c r="A11" s="65"/>
      <c r="B11" s="65"/>
      <c r="C11" s="64"/>
      <c r="D11" s="108">
        <f t="shared" si="1"/>
        <v>7</v>
      </c>
      <c r="E11" s="63">
        <f t="shared" si="2"/>
        <v>44995</v>
      </c>
      <c r="F11" s="76">
        <f t="shared" si="3"/>
        <v>638</v>
      </c>
      <c r="G11" s="46">
        <f t="shared" si="4"/>
        <v>0.05</v>
      </c>
      <c r="H11" s="66">
        <v>0</v>
      </c>
      <c r="I11" s="50">
        <f t="shared" si="5"/>
        <v>1.2328767123287672</v>
      </c>
      <c r="J11" s="109">
        <f t="shared" si="6"/>
        <v>1.2328767123287672</v>
      </c>
      <c r="L11" s="77">
        <f t="shared" si="7"/>
        <v>1.1814104127218592</v>
      </c>
      <c r="M11" s="80">
        <f t="shared" si="8"/>
        <v>1.1814104127218592E-2</v>
      </c>
    </row>
    <row r="12" spans="1:14" ht="14.25" customHeight="1" x14ac:dyDescent="0.2">
      <c r="A12" s="65"/>
      <c r="B12" s="65"/>
      <c r="C12" s="64"/>
      <c r="D12" s="108">
        <f t="shared" si="1"/>
        <v>8</v>
      </c>
      <c r="E12" s="63">
        <f t="shared" si="2"/>
        <v>45087</v>
      </c>
      <c r="F12" s="76">
        <f t="shared" ref="F12" si="9">E12-$E$3</f>
        <v>730</v>
      </c>
      <c r="G12" s="46">
        <f t="shared" si="4"/>
        <v>0.05</v>
      </c>
      <c r="H12" s="66">
        <v>100</v>
      </c>
      <c r="I12" s="50">
        <f t="shared" ref="I12" si="10">+YEARFRAC(E11,E12,3)*(G12)*100</f>
        <v>1.2602739726027399</v>
      </c>
      <c r="J12" s="109">
        <f t="shared" ref="J12" si="11">H12+I12</f>
        <v>101.26027397260275</v>
      </c>
      <c r="L12" s="77">
        <f t="shared" si="7"/>
        <v>96.438359179108886</v>
      </c>
      <c r="M12" s="80">
        <f t="shared" ref="M12" si="12">L12/100</f>
        <v>0.9643835917910889</v>
      </c>
    </row>
    <row r="13" spans="1:14" ht="14.25" customHeight="1" x14ac:dyDescent="0.2">
      <c r="A13" s="65"/>
      <c r="B13" s="65"/>
      <c r="C13" s="64"/>
      <c r="D13" s="108"/>
      <c r="E13" s="63"/>
      <c r="F13" s="76"/>
      <c r="G13" s="46"/>
      <c r="H13" s="66"/>
      <c r="I13" s="50"/>
      <c r="J13" s="109"/>
      <c r="L13" s="77"/>
      <c r="M13" s="80"/>
    </row>
    <row r="14" spans="1:14" ht="14.25" customHeight="1" x14ac:dyDescent="0.2">
      <c r="A14" s="65"/>
      <c r="B14" s="65"/>
      <c r="C14" s="64"/>
      <c r="D14" s="108"/>
      <c r="E14" s="63"/>
      <c r="F14" s="76"/>
      <c r="G14" s="46"/>
      <c r="H14" s="66"/>
      <c r="I14" s="50"/>
      <c r="J14" s="109"/>
      <c r="L14" s="77"/>
      <c r="M14" s="80"/>
    </row>
    <row r="15" spans="1:14" ht="14.25" customHeight="1" x14ac:dyDescent="0.2">
      <c r="A15" s="65"/>
      <c r="B15" s="65"/>
      <c r="C15" s="64"/>
      <c r="D15" s="108"/>
      <c r="E15" s="63"/>
      <c r="F15" s="76"/>
      <c r="G15" s="46"/>
      <c r="H15" s="66"/>
      <c r="I15" s="50"/>
      <c r="J15" s="109"/>
      <c r="L15" s="77"/>
      <c r="M15" s="80"/>
    </row>
    <row r="16" spans="1:14" ht="12.75" x14ac:dyDescent="0.2">
      <c r="A16" s="62" t="s">
        <v>26</v>
      </c>
      <c r="B16" s="62"/>
      <c r="C16" s="82">
        <f>+SUMPRODUCT(M5:M12,F5:F12)/L4/365</f>
        <v>1.9181494285236609</v>
      </c>
      <c r="D16" s="108"/>
      <c r="E16" s="63"/>
      <c r="F16" s="76"/>
      <c r="G16" s="46"/>
      <c r="H16" s="66"/>
      <c r="I16" s="50"/>
      <c r="J16" s="109"/>
      <c r="L16" s="77"/>
      <c r="M16" s="80"/>
    </row>
    <row r="17" spans="1:10" x14ac:dyDescent="0.2">
      <c r="A17" s="62" t="s">
        <v>27</v>
      </c>
      <c r="B17" s="62">
        <f>ROUND(C17*365,0)</f>
        <v>730</v>
      </c>
      <c r="C17" s="66">
        <f>+(E12-E3)/365</f>
        <v>2</v>
      </c>
      <c r="E17" s="63"/>
      <c r="G17" s="120"/>
    </row>
    <row r="18" spans="1:10" x14ac:dyDescent="0.2">
      <c r="G18" s="120"/>
    </row>
    <row r="19" spans="1:10" x14ac:dyDescent="0.2">
      <c r="A19" s="72"/>
      <c r="B19" s="72"/>
      <c r="C19" s="72"/>
      <c r="D19" s="108"/>
      <c r="E19" s="63"/>
      <c r="F19" s="76"/>
      <c r="G19" s="46"/>
      <c r="H19" s="66"/>
      <c r="I19" s="50"/>
      <c r="J19" s="109"/>
    </row>
    <row r="25" spans="1:10" ht="14.25" customHeight="1" x14ac:dyDescent="0.2"/>
    <row r="26" spans="1:10" ht="14.25" customHeight="1" x14ac:dyDescent="0.2"/>
    <row r="30" spans="1:10" x14ac:dyDescent="0.2">
      <c r="E30" s="69"/>
      <c r="F30" s="69"/>
      <c r="G30" s="69"/>
    </row>
  </sheetData>
  <sheetProtection algorithmName="SHA-512" hashValue="Kz+X8Ct6wPn7jdkGoJ4uquLpQKyNmDCpRTuQJAuEPt56GGr/LPCY+YclAispkrYh6MbQcBLuOyuFTa0v4srBaw==" saltValue="e05xLLoZWcJcxvoxxxICZw==" spinCount="100000" sheet="1" objects="1" scenarios="1" selectLockedCells="1" selectUnlockedCells="1"/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baseColWidth="10" defaultColWidth="14.7109375" defaultRowHeight="15" customHeight="1" x14ac:dyDescent="0.25"/>
  <cols>
    <col min="1" max="1" width="22.42578125" style="37" bestFit="1" customWidth="1"/>
    <col min="2" max="2" width="2.42578125" style="37" customWidth="1"/>
    <col min="3" max="3" width="14.28515625" style="37" customWidth="1"/>
    <col min="4" max="4" width="3.85546875" style="37" customWidth="1"/>
    <col min="5" max="5" width="10" style="37" customWidth="1"/>
    <col min="6" max="6" width="6.7109375" style="37" customWidth="1"/>
    <col min="7" max="7" width="11" style="37" customWidth="1"/>
    <col min="8" max="9" width="8.42578125" style="37" customWidth="1"/>
    <col min="10" max="16384" width="14.7109375" style="37"/>
  </cols>
  <sheetData>
    <row r="1" spans="1:11" ht="6.75" customHeight="1" x14ac:dyDescent="0.25">
      <c r="A1" s="60"/>
      <c r="B1" s="60"/>
      <c r="C1" s="60"/>
      <c r="D1" s="55"/>
    </row>
    <row r="2" spans="1:11" ht="15" customHeight="1" x14ac:dyDescent="0.25">
      <c r="A2" s="143" t="str">
        <f>CGC!F2</f>
        <v>ON CLASE 20 - Badlar + Margen</v>
      </c>
      <c r="B2" s="143"/>
      <c r="C2" s="144"/>
      <c r="D2" s="56" t="s">
        <v>40</v>
      </c>
      <c r="E2" s="36" t="s">
        <v>41</v>
      </c>
      <c r="F2" s="36" t="str">
        <f>'Clase 19 DL'!F2</f>
        <v>Dias</v>
      </c>
      <c r="G2" s="36" t="s">
        <v>10</v>
      </c>
      <c r="H2" s="36" t="s">
        <v>39</v>
      </c>
      <c r="I2" s="36" t="s">
        <v>2</v>
      </c>
      <c r="J2" s="53" t="s">
        <v>3</v>
      </c>
      <c r="K2" s="36" t="s">
        <v>26</v>
      </c>
    </row>
    <row r="3" spans="1:11" s="38" customFormat="1" ht="12" x14ac:dyDescent="0.2">
      <c r="A3" s="45" t="s">
        <v>4</v>
      </c>
      <c r="B3" s="45"/>
      <c r="C3" s="45">
        <v>100</v>
      </c>
      <c r="D3" s="57"/>
      <c r="E3" s="48">
        <f>+C4</f>
        <v>44357</v>
      </c>
      <c r="F3" s="39"/>
      <c r="G3" s="39"/>
      <c r="H3" s="42">
        <v>0</v>
      </c>
      <c r="I3" s="50"/>
      <c r="J3" s="51">
        <f>-CGC!G10</f>
        <v>-100</v>
      </c>
      <c r="K3" s="51">
        <f>SUM(K5:K8)/-J3</f>
        <v>0.87549979436471603</v>
      </c>
    </row>
    <row r="4" spans="1:11" ht="12" x14ac:dyDescent="0.2">
      <c r="A4" s="40" t="s">
        <v>11</v>
      </c>
      <c r="B4" s="40"/>
      <c r="C4" s="43">
        <f>CGC!G5</f>
        <v>44357</v>
      </c>
      <c r="D4" s="55">
        <v>0</v>
      </c>
      <c r="E4" s="43">
        <f>+C4</f>
        <v>44357</v>
      </c>
      <c r="F4" s="76">
        <f>E4-E3</f>
        <v>0</v>
      </c>
      <c r="G4" s="114">
        <f>CGC!$G$19+CGC!$G$18</f>
        <v>0.385625</v>
      </c>
      <c r="H4" s="44">
        <v>0</v>
      </c>
      <c r="I4" s="50"/>
      <c r="J4" s="52"/>
      <c r="K4" s="52"/>
    </row>
    <row r="5" spans="1:11" ht="12" x14ac:dyDescent="0.2">
      <c r="A5" s="40" t="s">
        <v>12</v>
      </c>
      <c r="B5" s="40"/>
      <c r="C5" s="43">
        <f>+EDATE(C4,12)</f>
        <v>44722</v>
      </c>
      <c r="D5" s="55">
        <v>1</v>
      </c>
      <c r="E5" s="43">
        <f>+EDATE(E4,3)</f>
        <v>44449</v>
      </c>
      <c r="F5" s="76">
        <f>E5-$E$3</f>
        <v>92</v>
      </c>
      <c r="G5" s="114">
        <f>CGC!$G$19+CGC!$G$18</f>
        <v>0.385625</v>
      </c>
      <c r="H5" s="44">
        <v>0</v>
      </c>
      <c r="I5" s="50">
        <f>+YEARFRAC(E4,E5,1)*(G5)*100</f>
        <v>9.7198630136986299</v>
      </c>
      <c r="J5" s="52">
        <f>H5+I5</f>
        <v>9.7198630136986299</v>
      </c>
      <c r="K5" s="52">
        <f>J5/(1+C$11*(90/365))^((E5-E$3)/90)*((E5-E$3)/365)</f>
        <v>2.2327024017624875</v>
      </c>
    </row>
    <row r="6" spans="1:11" ht="12" x14ac:dyDescent="0.2">
      <c r="A6" s="40" t="s">
        <v>22</v>
      </c>
      <c r="B6" s="40"/>
      <c r="C6" s="46">
        <f>CGC!G18</f>
        <v>4.4999999999999998E-2</v>
      </c>
      <c r="D6" s="55">
        <v>2</v>
      </c>
      <c r="E6" s="43">
        <f t="shared" ref="E6:E8" si="0">+EDATE(E5,3)</f>
        <v>44540</v>
      </c>
      <c r="F6" s="76">
        <f t="shared" ref="F6:F7" si="1">E6-$E$3</f>
        <v>183</v>
      </c>
      <c r="G6" s="114">
        <f>CGC!$G$19+CGC!$G$18</f>
        <v>0.385625</v>
      </c>
      <c r="H6" s="44">
        <v>0</v>
      </c>
      <c r="I6" s="50">
        <f t="shared" ref="I6:I7" si="2">+YEARFRAC(E5,E6,1)*(G6)*100</f>
        <v>9.6142123287671222</v>
      </c>
      <c r="J6" s="52">
        <f>H6+I6</f>
        <v>9.6142123287671222</v>
      </c>
      <c r="K6" s="52">
        <f>J6/(1+C$11*(90/365))^((E6-E$3)/90)*((E6-E$3)/365)</f>
        <v>4.007390890086012</v>
      </c>
    </row>
    <row r="7" spans="1:11" ht="12" x14ac:dyDescent="0.2">
      <c r="A7" s="40" t="s">
        <v>16</v>
      </c>
      <c r="B7" s="40"/>
      <c r="C7" s="41">
        <f>+Inputs!C4/100</f>
        <v>0.34062500000000001</v>
      </c>
      <c r="D7" s="55">
        <v>3</v>
      </c>
      <c r="E7" s="43">
        <f t="shared" si="0"/>
        <v>44630</v>
      </c>
      <c r="F7" s="76">
        <f t="shared" si="1"/>
        <v>273</v>
      </c>
      <c r="G7" s="114">
        <f>CGC!$G$19+CGC!$G$18</f>
        <v>0.385625</v>
      </c>
      <c r="H7" s="44">
        <v>0</v>
      </c>
      <c r="I7" s="50">
        <f t="shared" si="2"/>
        <v>9.5085616438356162</v>
      </c>
      <c r="J7" s="52">
        <f t="shared" ref="J7" si="3">H7+I7</f>
        <v>9.5085616438356162</v>
      </c>
      <c r="K7" s="52">
        <f>J7/(1+C$11*(90/365))^((E7-E$3)/90)*((E7-E$3)/365)</f>
        <v>5.399166592368994</v>
      </c>
    </row>
    <row r="8" spans="1:11" ht="12" x14ac:dyDescent="0.2">
      <c r="A8" s="40" t="s">
        <v>23</v>
      </c>
      <c r="B8" s="40"/>
      <c r="C8" s="41">
        <f>CGC!G18+CGC!G19</f>
        <v>0.385625</v>
      </c>
      <c r="D8" s="55">
        <v>4</v>
      </c>
      <c r="E8" s="43">
        <f t="shared" si="0"/>
        <v>44722</v>
      </c>
      <c r="F8" s="76">
        <f>E8-$E$3</f>
        <v>365</v>
      </c>
      <c r="G8" s="114">
        <f>CGC!$G$19+CGC!$G$18</f>
        <v>0.385625</v>
      </c>
      <c r="H8" s="44">
        <v>100</v>
      </c>
      <c r="I8" s="50">
        <f t="shared" ref="I8" si="4">+YEARFRAC(E7,E8,1)*(G8)*100</f>
        <v>9.7198630136986299</v>
      </c>
      <c r="J8" s="52">
        <f t="shared" ref="J8" si="5">H8+I8</f>
        <v>109.71986301369863</v>
      </c>
      <c r="K8" s="52">
        <f>J8/(1+C$11*(90/365))^((E8-E$3)/90)*((E8-E$3)/365)</f>
        <v>75.910719552254108</v>
      </c>
    </row>
    <row r="9" spans="1:11" ht="12" x14ac:dyDescent="0.25">
      <c r="D9" s="55"/>
    </row>
    <row r="10" spans="1:11" ht="12" x14ac:dyDescent="0.25">
      <c r="A10" s="41"/>
      <c r="B10" s="41"/>
      <c r="C10" s="46"/>
      <c r="D10" s="55"/>
      <c r="G10" s="115"/>
      <c r="I10" s="49"/>
      <c r="J10" s="49"/>
      <c r="K10" s="49"/>
    </row>
    <row r="11" spans="1:11" ht="12" x14ac:dyDescent="0.25">
      <c r="A11" s="41" t="s">
        <v>24</v>
      </c>
      <c r="B11" s="41"/>
      <c r="C11" s="46">
        <f>NOMINAL(C12,4)</f>
        <v>0.38562068853040277</v>
      </c>
      <c r="D11" s="58"/>
      <c r="I11" s="49"/>
      <c r="J11" s="49"/>
      <c r="K11" s="49"/>
    </row>
    <row r="12" spans="1:11" ht="12" x14ac:dyDescent="0.25">
      <c r="A12" s="37" t="s">
        <v>25</v>
      </c>
      <c r="C12" s="46">
        <f>XIRR(J3:J8,E3:E8)</f>
        <v>0.44505475163459773</v>
      </c>
      <c r="D12" s="55"/>
      <c r="I12" s="49"/>
      <c r="J12" s="49"/>
      <c r="K12" s="49"/>
    </row>
    <row r="13" spans="1:11" ht="12" x14ac:dyDescent="0.25">
      <c r="A13" s="40" t="s">
        <v>26</v>
      </c>
      <c r="B13" s="40"/>
      <c r="C13" s="44">
        <f>IF(ISERROR(K3),NA(),K3)</f>
        <v>0.87549979436471603</v>
      </c>
      <c r="D13" s="55"/>
      <c r="I13" s="49"/>
      <c r="J13" s="49"/>
      <c r="K13" s="49"/>
    </row>
    <row r="14" spans="1:11" ht="12" x14ac:dyDescent="0.25">
      <c r="A14" s="40" t="s">
        <v>27</v>
      </c>
      <c r="B14" s="40"/>
      <c r="C14" s="44">
        <f>+(E8-E3)/365</f>
        <v>1</v>
      </c>
      <c r="D14" s="55"/>
    </row>
    <row r="15" spans="1:11" ht="12" x14ac:dyDescent="0.25">
      <c r="A15" s="40"/>
      <c r="B15" s="40"/>
      <c r="C15" s="40"/>
      <c r="D15" s="55"/>
    </row>
    <row r="16" spans="1:11" ht="12" x14ac:dyDescent="0.25">
      <c r="C16" s="47"/>
      <c r="D16" s="55"/>
    </row>
    <row r="17" spans="1:11" ht="12" x14ac:dyDescent="0.25">
      <c r="D17" s="55"/>
    </row>
    <row r="18" spans="1:11" ht="12" x14ac:dyDescent="0.25">
      <c r="D18" s="55"/>
    </row>
    <row r="19" spans="1:11" ht="12" x14ac:dyDescent="0.25">
      <c r="A19" s="54"/>
      <c r="B19" s="54"/>
      <c r="C19" s="54"/>
      <c r="D19" s="59"/>
      <c r="E19" s="54"/>
      <c r="F19" s="54"/>
      <c r="G19" s="54"/>
      <c r="H19" s="54"/>
      <c r="I19" s="54"/>
      <c r="J19" s="54"/>
      <c r="K19" s="54"/>
    </row>
    <row r="20" spans="1:11" ht="12" x14ac:dyDescent="0.25"/>
    <row r="21" spans="1:11" ht="12" x14ac:dyDescent="0.25"/>
    <row r="22" spans="1:11" ht="12" x14ac:dyDescent="0.25"/>
  </sheetData>
  <sheetProtection algorithmName="SHA-512" hashValue="bQGGE7cPfGOnTrcgVFAbJZKRw9XgR4tZmkUYuZH0L8giYt9JrZH6DEf7xvzSyREt7dzF6bzy8fT7UlSN6aGNkw==" saltValue="JLk0ZUV/nSsWjZ9jgrGSlw==" spinCount="100000" sheet="1" objects="1" scenarios="1" selectLockedCells="1" selectUnlockedCells="1"/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XFD1048576"/>
    </sheetView>
  </sheetViews>
  <sheetFormatPr baseColWidth="10" defaultColWidth="14.7109375" defaultRowHeight="12" x14ac:dyDescent="0.2"/>
  <cols>
    <col min="1" max="1" width="21.7109375" style="67" bestFit="1" customWidth="1"/>
    <col min="2" max="2" width="10.42578125" style="67" customWidth="1"/>
    <col min="3" max="3" width="8.42578125" style="67" customWidth="1"/>
    <col min="4" max="4" width="4.42578125" style="102" customWidth="1"/>
    <col min="5" max="5" width="9.42578125" style="67" customWidth="1"/>
    <col min="6" max="6" width="6.42578125" style="67" customWidth="1"/>
    <col min="7" max="7" width="8.140625" style="67" customWidth="1"/>
    <col min="8" max="8" width="11.28515625" style="67" customWidth="1"/>
    <col min="9" max="9" width="10.7109375" style="67" customWidth="1"/>
    <col min="10" max="11" width="6.42578125" style="67" customWidth="1"/>
    <col min="12" max="12" width="8.42578125" style="67" customWidth="1"/>
    <col min="13" max="13" width="9.85546875" style="67" customWidth="1"/>
    <col min="14" max="14" width="13.42578125" style="67" customWidth="1"/>
    <col min="15" max="15" width="11.140625" style="67" customWidth="1"/>
    <col min="16" max="259" width="14.7109375" style="67"/>
    <col min="260" max="260" width="21.7109375" style="67" bestFit="1" customWidth="1"/>
    <col min="261" max="266" width="14.7109375" style="67"/>
    <col min="267" max="271" width="0" style="67" hidden="1" customWidth="1"/>
    <col min="272" max="515" width="14.7109375" style="67"/>
    <col min="516" max="516" width="21.7109375" style="67" bestFit="1" customWidth="1"/>
    <col min="517" max="522" width="14.7109375" style="67"/>
    <col min="523" max="527" width="0" style="67" hidden="1" customWidth="1"/>
    <col min="528" max="771" width="14.7109375" style="67"/>
    <col min="772" max="772" width="21.7109375" style="67" bestFit="1" customWidth="1"/>
    <col min="773" max="778" width="14.7109375" style="67"/>
    <col min="779" max="783" width="0" style="67" hidden="1" customWidth="1"/>
    <col min="784" max="1027" width="14.7109375" style="67"/>
    <col min="1028" max="1028" width="21.7109375" style="67" bestFit="1" customWidth="1"/>
    <col min="1029" max="1034" width="14.7109375" style="67"/>
    <col min="1035" max="1039" width="0" style="67" hidden="1" customWidth="1"/>
    <col min="1040" max="1283" width="14.7109375" style="67"/>
    <col min="1284" max="1284" width="21.7109375" style="67" bestFit="1" customWidth="1"/>
    <col min="1285" max="1290" width="14.7109375" style="67"/>
    <col min="1291" max="1295" width="0" style="67" hidden="1" customWidth="1"/>
    <col min="1296" max="1539" width="14.7109375" style="67"/>
    <col min="1540" max="1540" width="21.7109375" style="67" bestFit="1" customWidth="1"/>
    <col min="1541" max="1546" width="14.7109375" style="67"/>
    <col min="1547" max="1551" width="0" style="67" hidden="1" customWidth="1"/>
    <col min="1552" max="1795" width="14.7109375" style="67"/>
    <col min="1796" max="1796" width="21.7109375" style="67" bestFit="1" customWidth="1"/>
    <col min="1797" max="1802" width="14.7109375" style="67"/>
    <col min="1803" max="1807" width="0" style="67" hidden="1" customWidth="1"/>
    <col min="1808" max="2051" width="14.7109375" style="67"/>
    <col min="2052" max="2052" width="21.7109375" style="67" bestFit="1" customWidth="1"/>
    <col min="2053" max="2058" width="14.7109375" style="67"/>
    <col min="2059" max="2063" width="0" style="67" hidden="1" customWidth="1"/>
    <col min="2064" max="2307" width="14.7109375" style="67"/>
    <col min="2308" max="2308" width="21.7109375" style="67" bestFit="1" customWidth="1"/>
    <col min="2309" max="2314" width="14.7109375" style="67"/>
    <col min="2315" max="2319" width="0" style="67" hidden="1" customWidth="1"/>
    <col min="2320" max="2563" width="14.7109375" style="67"/>
    <col min="2564" max="2564" width="21.7109375" style="67" bestFit="1" customWidth="1"/>
    <col min="2565" max="2570" width="14.7109375" style="67"/>
    <col min="2571" max="2575" width="0" style="67" hidden="1" customWidth="1"/>
    <col min="2576" max="2819" width="14.7109375" style="67"/>
    <col min="2820" max="2820" width="21.7109375" style="67" bestFit="1" customWidth="1"/>
    <col min="2821" max="2826" width="14.7109375" style="67"/>
    <col min="2827" max="2831" width="0" style="67" hidden="1" customWidth="1"/>
    <col min="2832" max="3075" width="14.7109375" style="67"/>
    <col min="3076" max="3076" width="21.7109375" style="67" bestFit="1" customWidth="1"/>
    <col min="3077" max="3082" width="14.7109375" style="67"/>
    <col min="3083" max="3087" width="0" style="67" hidden="1" customWidth="1"/>
    <col min="3088" max="3331" width="14.7109375" style="67"/>
    <col min="3332" max="3332" width="21.7109375" style="67" bestFit="1" customWidth="1"/>
    <col min="3333" max="3338" width="14.7109375" style="67"/>
    <col min="3339" max="3343" width="0" style="67" hidden="1" customWidth="1"/>
    <col min="3344" max="3587" width="14.7109375" style="67"/>
    <col min="3588" max="3588" width="21.7109375" style="67" bestFit="1" customWidth="1"/>
    <col min="3589" max="3594" width="14.7109375" style="67"/>
    <col min="3595" max="3599" width="0" style="67" hidden="1" customWidth="1"/>
    <col min="3600" max="3843" width="14.7109375" style="67"/>
    <col min="3844" max="3844" width="21.7109375" style="67" bestFit="1" customWidth="1"/>
    <col min="3845" max="3850" width="14.7109375" style="67"/>
    <col min="3851" max="3855" width="0" style="67" hidden="1" customWidth="1"/>
    <col min="3856" max="4099" width="14.7109375" style="67"/>
    <col min="4100" max="4100" width="21.7109375" style="67" bestFit="1" customWidth="1"/>
    <col min="4101" max="4106" width="14.7109375" style="67"/>
    <col min="4107" max="4111" width="0" style="67" hidden="1" customWidth="1"/>
    <col min="4112" max="4355" width="14.7109375" style="67"/>
    <col min="4356" max="4356" width="21.7109375" style="67" bestFit="1" customWidth="1"/>
    <col min="4357" max="4362" width="14.7109375" style="67"/>
    <col min="4363" max="4367" width="0" style="67" hidden="1" customWidth="1"/>
    <col min="4368" max="4611" width="14.7109375" style="67"/>
    <col min="4612" max="4612" width="21.7109375" style="67" bestFit="1" customWidth="1"/>
    <col min="4613" max="4618" width="14.7109375" style="67"/>
    <col min="4619" max="4623" width="0" style="67" hidden="1" customWidth="1"/>
    <col min="4624" max="4867" width="14.7109375" style="67"/>
    <col min="4868" max="4868" width="21.7109375" style="67" bestFit="1" customWidth="1"/>
    <col min="4869" max="4874" width="14.7109375" style="67"/>
    <col min="4875" max="4879" width="0" style="67" hidden="1" customWidth="1"/>
    <col min="4880" max="5123" width="14.7109375" style="67"/>
    <col min="5124" max="5124" width="21.7109375" style="67" bestFit="1" customWidth="1"/>
    <col min="5125" max="5130" width="14.7109375" style="67"/>
    <col min="5131" max="5135" width="0" style="67" hidden="1" customWidth="1"/>
    <col min="5136" max="5379" width="14.7109375" style="67"/>
    <col min="5380" max="5380" width="21.7109375" style="67" bestFit="1" customWidth="1"/>
    <col min="5381" max="5386" width="14.7109375" style="67"/>
    <col min="5387" max="5391" width="0" style="67" hidden="1" customWidth="1"/>
    <col min="5392" max="5635" width="14.7109375" style="67"/>
    <col min="5636" max="5636" width="21.7109375" style="67" bestFit="1" customWidth="1"/>
    <col min="5637" max="5642" width="14.7109375" style="67"/>
    <col min="5643" max="5647" width="0" style="67" hidden="1" customWidth="1"/>
    <col min="5648" max="5891" width="14.7109375" style="67"/>
    <col min="5892" max="5892" width="21.7109375" style="67" bestFit="1" customWidth="1"/>
    <col min="5893" max="5898" width="14.7109375" style="67"/>
    <col min="5899" max="5903" width="0" style="67" hidden="1" customWidth="1"/>
    <col min="5904" max="6147" width="14.7109375" style="67"/>
    <col min="6148" max="6148" width="21.7109375" style="67" bestFit="1" customWidth="1"/>
    <col min="6149" max="6154" width="14.7109375" style="67"/>
    <col min="6155" max="6159" width="0" style="67" hidden="1" customWidth="1"/>
    <col min="6160" max="6403" width="14.7109375" style="67"/>
    <col min="6404" max="6404" width="21.7109375" style="67" bestFit="1" customWidth="1"/>
    <col min="6405" max="6410" width="14.7109375" style="67"/>
    <col min="6411" max="6415" width="0" style="67" hidden="1" customWidth="1"/>
    <col min="6416" max="6659" width="14.7109375" style="67"/>
    <col min="6660" max="6660" width="21.7109375" style="67" bestFit="1" customWidth="1"/>
    <col min="6661" max="6666" width="14.7109375" style="67"/>
    <col min="6667" max="6671" width="0" style="67" hidden="1" customWidth="1"/>
    <col min="6672" max="6915" width="14.7109375" style="67"/>
    <col min="6916" max="6916" width="21.7109375" style="67" bestFit="1" customWidth="1"/>
    <col min="6917" max="6922" width="14.7109375" style="67"/>
    <col min="6923" max="6927" width="0" style="67" hidden="1" customWidth="1"/>
    <col min="6928" max="7171" width="14.7109375" style="67"/>
    <col min="7172" max="7172" width="21.7109375" style="67" bestFit="1" customWidth="1"/>
    <col min="7173" max="7178" width="14.7109375" style="67"/>
    <col min="7179" max="7183" width="0" style="67" hidden="1" customWidth="1"/>
    <col min="7184" max="7427" width="14.7109375" style="67"/>
    <col min="7428" max="7428" width="21.7109375" style="67" bestFit="1" customWidth="1"/>
    <col min="7429" max="7434" width="14.7109375" style="67"/>
    <col min="7435" max="7439" width="0" style="67" hidden="1" customWidth="1"/>
    <col min="7440" max="7683" width="14.7109375" style="67"/>
    <col min="7684" max="7684" width="21.7109375" style="67" bestFit="1" customWidth="1"/>
    <col min="7685" max="7690" width="14.7109375" style="67"/>
    <col min="7691" max="7695" width="0" style="67" hidden="1" customWidth="1"/>
    <col min="7696" max="7939" width="14.7109375" style="67"/>
    <col min="7940" max="7940" width="21.7109375" style="67" bestFit="1" customWidth="1"/>
    <col min="7941" max="7946" width="14.7109375" style="67"/>
    <col min="7947" max="7951" width="0" style="67" hidden="1" customWidth="1"/>
    <col min="7952" max="8195" width="14.7109375" style="67"/>
    <col min="8196" max="8196" width="21.7109375" style="67" bestFit="1" customWidth="1"/>
    <col min="8197" max="8202" width="14.7109375" style="67"/>
    <col min="8203" max="8207" width="0" style="67" hidden="1" customWidth="1"/>
    <col min="8208" max="8451" width="14.7109375" style="67"/>
    <col min="8452" max="8452" width="21.7109375" style="67" bestFit="1" customWidth="1"/>
    <col min="8453" max="8458" width="14.7109375" style="67"/>
    <col min="8459" max="8463" width="0" style="67" hidden="1" customWidth="1"/>
    <col min="8464" max="8707" width="14.7109375" style="67"/>
    <col min="8708" max="8708" width="21.7109375" style="67" bestFit="1" customWidth="1"/>
    <col min="8709" max="8714" width="14.7109375" style="67"/>
    <col min="8715" max="8719" width="0" style="67" hidden="1" customWidth="1"/>
    <col min="8720" max="8963" width="14.7109375" style="67"/>
    <col min="8964" max="8964" width="21.7109375" style="67" bestFit="1" customWidth="1"/>
    <col min="8965" max="8970" width="14.7109375" style="67"/>
    <col min="8971" max="8975" width="0" style="67" hidden="1" customWidth="1"/>
    <col min="8976" max="9219" width="14.7109375" style="67"/>
    <col min="9220" max="9220" width="21.7109375" style="67" bestFit="1" customWidth="1"/>
    <col min="9221" max="9226" width="14.7109375" style="67"/>
    <col min="9227" max="9231" width="0" style="67" hidden="1" customWidth="1"/>
    <col min="9232" max="9475" width="14.7109375" style="67"/>
    <col min="9476" max="9476" width="21.7109375" style="67" bestFit="1" customWidth="1"/>
    <col min="9477" max="9482" width="14.7109375" style="67"/>
    <col min="9483" max="9487" width="0" style="67" hidden="1" customWidth="1"/>
    <col min="9488" max="9731" width="14.7109375" style="67"/>
    <col min="9732" max="9732" width="21.7109375" style="67" bestFit="1" customWidth="1"/>
    <col min="9733" max="9738" width="14.7109375" style="67"/>
    <col min="9739" max="9743" width="0" style="67" hidden="1" customWidth="1"/>
    <col min="9744" max="9987" width="14.7109375" style="67"/>
    <col min="9988" max="9988" width="21.7109375" style="67" bestFit="1" customWidth="1"/>
    <col min="9989" max="9994" width="14.7109375" style="67"/>
    <col min="9995" max="9999" width="0" style="67" hidden="1" customWidth="1"/>
    <col min="10000" max="10243" width="14.7109375" style="67"/>
    <col min="10244" max="10244" width="21.7109375" style="67" bestFit="1" customWidth="1"/>
    <col min="10245" max="10250" width="14.7109375" style="67"/>
    <col min="10251" max="10255" width="0" style="67" hidden="1" customWidth="1"/>
    <col min="10256" max="10499" width="14.7109375" style="67"/>
    <col min="10500" max="10500" width="21.7109375" style="67" bestFit="1" customWidth="1"/>
    <col min="10501" max="10506" width="14.7109375" style="67"/>
    <col min="10507" max="10511" width="0" style="67" hidden="1" customWidth="1"/>
    <col min="10512" max="10755" width="14.7109375" style="67"/>
    <col min="10756" max="10756" width="21.7109375" style="67" bestFit="1" customWidth="1"/>
    <col min="10757" max="10762" width="14.7109375" style="67"/>
    <col min="10763" max="10767" width="0" style="67" hidden="1" customWidth="1"/>
    <col min="10768" max="11011" width="14.7109375" style="67"/>
    <col min="11012" max="11012" width="21.7109375" style="67" bestFit="1" customWidth="1"/>
    <col min="11013" max="11018" width="14.7109375" style="67"/>
    <col min="11019" max="11023" width="0" style="67" hidden="1" customWidth="1"/>
    <col min="11024" max="11267" width="14.7109375" style="67"/>
    <col min="11268" max="11268" width="21.7109375" style="67" bestFit="1" customWidth="1"/>
    <col min="11269" max="11274" width="14.7109375" style="67"/>
    <col min="11275" max="11279" width="0" style="67" hidden="1" customWidth="1"/>
    <col min="11280" max="11523" width="14.7109375" style="67"/>
    <col min="11524" max="11524" width="21.7109375" style="67" bestFit="1" customWidth="1"/>
    <col min="11525" max="11530" width="14.7109375" style="67"/>
    <col min="11531" max="11535" width="0" style="67" hidden="1" customWidth="1"/>
    <col min="11536" max="11779" width="14.7109375" style="67"/>
    <col min="11780" max="11780" width="21.7109375" style="67" bestFit="1" customWidth="1"/>
    <col min="11781" max="11786" width="14.7109375" style="67"/>
    <col min="11787" max="11791" width="0" style="67" hidden="1" customWidth="1"/>
    <col min="11792" max="12035" width="14.7109375" style="67"/>
    <col min="12036" max="12036" width="21.7109375" style="67" bestFit="1" customWidth="1"/>
    <col min="12037" max="12042" width="14.7109375" style="67"/>
    <col min="12043" max="12047" width="0" style="67" hidden="1" customWidth="1"/>
    <col min="12048" max="12291" width="14.7109375" style="67"/>
    <col min="12292" max="12292" width="21.7109375" style="67" bestFit="1" customWidth="1"/>
    <col min="12293" max="12298" width="14.7109375" style="67"/>
    <col min="12299" max="12303" width="0" style="67" hidden="1" customWidth="1"/>
    <col min="12304" max="12547" width="14.7109375" style="67"/>
    <col min="12548" max="12548" width="21.7109375" style="67" bestFit="1" customWidth="1"/>
    <col min="12549" max="12554" width="14.7109375" style="67"/>
    <col min="12555" max="12559" width="0" style="67" hidden="1" customWidth="1"/>
    <col min="12560" max="12803" width="14.7109375" style="67"/>
    <col min="12804" max="12804" width="21.7109375" style="67" bestFit="1" customWidth="1"/>
    <col min="12805" max="12810" width="14.7109375" style="67"/>
    <col min="12811" max="12815" width="0" style="67" hidden="1" customWidth="1"/>
    <col min="12816" max="13059" width="14.7109375" style="67"/>
    <col min="13060" max="13060" width="21.7109375" style="67" bestFit="1" customWidth="1"/>
    <col min="13061" max="13066" width="14.7109375" style="67"/>
    <col min="13067" max="13071" width="0" style="67" hidden="1" customWidth="1"/>
    <col min="13072" max="13315" width="14.7109375" style="67"/>
    <col min="13316" max="13316" width="21.7109375" style="67" bestFit="1" customWidth="1"/>
    <col min="13317" max="13322" width="14.7109375" style="67"/>
    <col min="13323" max="13327" width="0" style="67" hidden="1" customWidth="1"/>
    <col min="13328" max="13571" width="14.7109375" style="67"/>
    <col min="13572" max="13572" width="21.7109375" style="67" bestFit="1" customWidth="1"/>
    <col min="13573" max="13578" width="14.7109375" style="67"/>
    <col min="13579" max="13583" width="0" style="67" hidden="1" customWidth="1"/>
    <col min="13584" max="13827" width="14.7109375" style="67"/>
    <col min="13828" max="13828" width="21.7109375" style="67" bestFit="1" customWidth="1"/>
    <col min="13829" max="13834" width="14.7109375" style="67"/>
    <col min="13835" max="13839" width="0" style="67" hidden="1" customWidth="1"/>
    <col min="13840" max="14083" width="14.7109375" style="67"/>
    <col min="14084" max="14084" width="21.7109375" style="67" bestFit="1" customWidth="1"/>
    <col min="14085" max="14090" width="14.7109375" style="67"/>
    <col min="14091" max="14095" width="0" style="67" hidden="1" customWidth="1"/>
    <col min="14096" max="14339" width="14.7109375" style="67"/>
    <col min="14340" max="14340" width="21.7109375" style="67" bestFit="1" customWidth="1"/>
    <col min="14341" max="14346" width="14.7109375" style="67"/>
    <col min="14347" max="14351" width="0" style="67" hidden="1" customWidth="1"/>
    <col min="14352" max="14595" width="14.7109375" style="67"/>
    <col min="14596" max="14596" width="21.7109375" style="67" bestFit="1" customWidth="1"/>
    <col min="14597" max="14602" width="14.7109375" style="67"/>
    <col min="14603" max="14607" width="0" style="67" hidden="1" customWidth="1"/>
    <col min="14608" max="14851" width="14.7109375" style="67"/>
    <col min="14852" max="14852" width="21.7109375" style="67" bestFit="1" customWidth="1"/>
    <col min="14853" max="14858" width="14.7109375" style="67"/>
    <col min="14859" max="14863" width="0" style="67" hidden="1" customWidth="1"/>
    <col min="14864" max="15107" width="14.7109375" style="67"/>
    <col min="15108" max="15108" width="21.7109375" style="67" bestFit="1" customWidth="1"/>
    <col min="15109" max="15114" width="14.7109375" style="67"/>
    <col min="15115" max="15119" width="0" style="67" hidden="1" customWidth="1"/>
    <col min="15120" max="15363" width="14.7109375" style="67"/>
    <col min="15364" max="15364" width="21.7109375" style="67" bestFit="1" customWidth="1"/>
    <col min="15365" max="15370" width="14.7109375" style="67"/>
    <col min="15371" max="15375" width="0" style="67" hidden="1" customWidth="1"/>
    <col min="15376" max="15619" width="14.7109375" style="67"/>
    <col min="15620" max="15620" width="21.7109375" style="67" bestFit="1" customWidth="1"/>
    <col min="15621" max="15626" width="14.7109375" style="67"/>
    <col min="15627" max="15631" width="0" style="67" hidden="1" customWidth="1"/>
    <col min="15632" max="15875" width="14.7109375" style="67"/>
    <col min="15876" max="15876" width="21.7109375" style="67" bestFit="1" customWidth="1"/>
    <col min="15877" max="15882" width="14.7109375" style="67"/>
    <col min="15883" max="15887" width="0" style="67" hidden="1" customWidth="1"/>
    <col min="15888" max="16131" width="14.7109375" style="67"/>
    <col min="16132" max="16132" width="21.7109375" style="67" bestFit="1" customWidth="1"/>
    <col min="16133" max="16138" width="14.7109375" style="67"/>
    <col min="16139" max="16143" width="0" style="67" hidden="1" customWidth="1"/>
    <col min="16144" max="16384" width="14.7109375" style="67"/>
  </cols>
  <sheetData>
    <row r="1" spans="1:17" ht="15" customHeight="1" x14ac:dyDescent="0.2">
      <c r="E1" s="62"/>
      <c r="F1" s="62"/>
      <c r="G1" s="62"/>
      <c r="H1" s="62"/>
      <c r="I1" s="62"/>
      <c r="J1" s="83"/>
      <c r="K1" s="83"/>
      <c r="L1" s="83"/>
    </row>
    <row r="2" spans="1:17" s="100" customFormat="1" ht="14.25" customHeight="1" x14ac:dyDescent="0.2">
      <c r="A2" s="68" t="str">
        <f>CGC!I2</f>
        <v>ON CLASE 20 - US$</v>
      </c>
      <c r="B2" s="68"/>
      <c r="C2" s="68"/>
      <c r="D2" s="104" t="s">
        <v>40</v>
      </c>
      <c r="E2" s="94" t="s">
        <v>38</v>
      </c>
      <c r="F2" s="94" t="str">
        <f>'Clase 19 DL'!F2</f>
        <v>Dias</v>
      </c>
      <c r="G2" s="94" t="str">
        <f>'Clase 19 DL'!G2</f>
        <v>Tasa</v>
      </c>
      <c r="H2" s="94" t="str">
        <f>'Clase 19 DL'!H2</f>
        <v>Amortización</v>
      </c>
      <c r="I2" s="95" t="s">
        <v>2</v>
      </c>
      <c r="J2" s="96" t="s">
        <v>3</v>
      </c>
      <c r="K2" s="97"/>
      <c r="L2" s="96"/>
      <c r="M2" s="96"/>
      <c r="N2" s="98"/>
      <c r="O2" s="99"/>
      <c r="P2" s="98"/>
    </row>
    <row r="3" spans="1:17" ht="15" customHeight="1" x14ac:dyDescent="0.2">
      <c r="A3" s="84" t="s">
        <v>4</v>
      </c>
      <c r="B3" s="84"/>
      <c r="C3" s="66">
        <f>CGC!J10</f>
        <v>100</v>
      </c>
      <c r="D3" s="106"/>
      <c r="E3" s="101">
        <f>C5</f>
        <v>44357</v>
      </c>
      <c r="F3" s="93"/>
      <c r="G3" s="93"/>
      <c r="H3" s="93"/>
      <c r="I3" s="88"/>
      <c r="J3" s="86">
        <f>-C3</f>
        <v>-100</v>
      </c>
      <c r="K3" s="89"/>
      <c r="L3" s="86"/>
      <c r="M3" s="86"/>
      <c r="N3" s="86"/>
      <c r="Q3" s="90"/>
    </row>
    <row r="4" spans="1:17" ht="15" customHeight="1" x14ac:dyDescent="0.2">
      <c r="A4" s="84" t="s">
        <v>34</v>
      </c>
      <c r="B4" s="84"/>
      <c r="C4" s="66">
        <v>100</v>
      </c>
      <c r="D4" s="108">
        <v>0</v>
      </c>
      <c r="E4" s="87">
        <f>E3</f>
        <v>44357</v>
      </c>
      <c r="F4" s="76">
        <f>E4-$E$3</f>
        <v>0</v>
      </c>
      <c r="G4" s="112"/>
      <c r="H4" s="63"/>
      <c r="I4" s="88"/>
      <c r="J4" s="86"/>
      <c r="K4" s="89"/>
      <c r="L4" s="79">
        <f>(SUM(L5:L28))/100</f>
        <v>1.0487777622343595</v>
      </c>
      <c r="M4" s="80"/>
      <c r="N4" s="85"/>
      <c r="Q4" s="90"/>
    </row>
    <row r="5" spans="1:17" ht="15" customHeight="1" x14ac:dyDescent="0.2">
      <c r="A5" s="62" t="s">
        <v>11</v>
      </c>
      <c r="B5" s="62"/>
      <c r="C5" s="63">
        <f>CGC!J5</f>
        <v>44357</v>
      </c>
      <c r="D5" s="108">
        <f>D4+1</f>
        <v>1</v>
      </c>
      <c r="E5" s="87">
        <f>+EDATE(E4,3)</f>
        <v>44449</v>
      </c>
      <c r="F5" s="76">
        <f t="shared" ref="F5:F9" si="0">E5-$E$3</f>
        <v>92</v>
      </c>
      <c r="G5" s="113">
        <f t="shared" ref="G5:G12" si="1">$C$8</f>
        <v>0.05</v>
      </c>
      <c r="H5" s="86">
        <v>0</v>
      </c>
      <c r="I5" s="50">
        <f>+YEARFRAC(E4,E5,3)*(G5)*100</f>
        <v>1.2602739726027399</v>
      </c>
      <c r="J5" s="86">
        <f>H5+I5</f>
        <v>1.2602739726027399</v>
      </c>
      <c r="K5" s="89"/>
      <c r="L5" s="77">
        <f t="shared" ref="L5:L12" si="2">+J5/((1+$C$9)^(F5/$F$12))</f>
        <v>1.2524064098807846</v>
      </c>
      <c r="M5" s="80">
        <f>L5/100</f>
        <v>1.2524064098807845E-2</v>
      </c>
      <c r="N5" s="86"/>
      <c r="O5" s="86"/>
      <c r="P5" s="91"/>
      <c r="Q5" s="91"/>
    </row>
    <row r="6" spans="1:17" ht="15" customHeight="1" x14ac:dyDescent="0.2">
      <c r="A6" s="62" t="s">
        <v>12</v>
      </c>
      <c r="B6" s="62"/>
      <c r="C6" s="63">
        <f>EDATE(C5,24)</f>
        <v>45087</v>
      </c>
      <c r="D6" s="108">
        <f t="shared" ref="D6:D12" si="3">D5+1</f>
        <v>2</v>
      </c>
      <c r="E6" s="87">
        <f>+EDATE(E5,3)</f>
        <v>44540</v>
      </c>
      <c r="F6" s="76">
        <f t="shared" si="0"/>
        <v>183</v>
      </c>
      <c r="G6" s="113">
        <f t="shared" si="1"/>
        <v>0.05</v>
      </c>
      <c r="H6" s="86">
        <v>0</v>
      </c>
      <c r="I6" s="50">
        <f t="shared" ref="I6:I12" si="4">+YEARFRAC(E5,E6,3)*(G6)*100</f>
        <v>1.2465753424657535</v>
      </c>
      <c r="J6" s="86">
        <f>I6</f>
        <v>1.2465753424657535</v>
      </c>
      <c r="K6" s="89"/>
      <c r="L6" s="77">
        <f t="shared" si="2"/>
        <v>1.2311436316021565</v>
      </c>
      <c r="M6" s="80">
        <f t="shared" ref="M6:M9" si="5">L6/100</f>
        <v>1.2311436316021565E-2</v>
      </c>
      <c r="N6" s="86"/>
      <c r="O6" s="86"/>
      <c r="P6" s="91"/>
      <c r="Q6" s="91"/>
    </row>
    <row r="7" spans="1:17" ht="15" customHeight="1" x14ac:dyDescent="0.2">
      <c r="D7" s="108">
        <f t="shared" si="3"/>
        <v>3</v>
      </c>
      <c r="E7" s="87">
        <f t="shared" ref="E7:E10" si="6">+EDATE(E6,3)</f>
        <v>44630</v>
      </c>
      <c r="F7" s="76">
        <f t="shared" si="0"/>
        <v>273</v>
      </c>
      <c r="G7" s="113">
        <f t="shared" si="1"/>
        <v>0.05</v>
      </c>
      <c r="H7" s="86">
        <v>0</v>
      </c>
      <c r="I7" s="50">
        <f t="shared" si="4"/>
        <v>1.2328767123287672</v>
      </c>
      <c r="J7" s="86">
        <f t="shared" ref="J7:J9" si="7">I7</f>
        <v>1.2328767123287672</v>
      </c>
      <c r="K7" s="89"/>
      <c r="L7" s="77">
        <f t="shared" si="2"/>
        <v>1.2101780684141112</v>
      </c>
      <c r="M7" s="80">
        <f t="shared" si="5"/>
        <v>1.2101780684141113E-2</v>
      </c>
      <c r="N7" s="86"/>
      <c r="O7" s="86"/>
      <c r="P7" s="91"/>
      <c r="Q7" s="91"/>
    </row>
    <row r="8" spans="1:17" ht="15" customHeight="1" x14ac:dyDescent="0.2">
      <c r="A8" s="110" t="s">
        <v>35</v>
      </c>
      <c r="B8" s="110"/>
      <c r="C8" s="111">
        <f>CGC!J18</f>
        <v>0.05</v>
      </c>
      <c r="D8" s="108">
        <f t="shared" si="3"/>
        <v>4</v>
      </c>
      <c r="E8" s="87">
        <f t="shared" si="6"/>
        <v>44722</v>
      </c>
      <c r="F8" s="76">
        <f t="shared" si="0"/>
        <v>365</v>
      </c>
      <c r="G8" s="113">
        <f t="shared" si="1"/>
        <v>0.05</v>
      </c>
      <c r="H8" s="86">
        <v>0</v>
      </c>
      <c r="I8" s="50">
        <f t="shared" si="4"/>
        <v>1.2602739726027399</v>
      </c>
      <c r="J8" s="86">
        <f t="shared" si="7"/>
        <v>1.2602739726027399</v>
      </c>
      <c r="K8" s="89"/>
      <c r="L8" s="77">
        <f t="shared" si="2"/>
        <v>1.2293482023162834</v>
      </c>
      <c r="M8" s="80">
        <f t="shared" si="5"/>
        <v>1.2293482023162834E-2</v>
      </c>
      <c r="N8" s="86"/>
      <c r="O8" s="86"/>
      <c r="P8" s="91"/>
      <c r="Q8" s="91"/>
    </row>
    <row r="9" spans="1:17" ht="15" customHeight="1" x14ac:dyDescent="0.2">
      <c r="A9" s="65" t="str">
        <f>'Clase 19 DL'!A8</f>
        <v>TIR</v>
      </c>
      <c r="B9" s="65"/>
      <c r="C9" s="64">
        <f>XIRR(J3:J13,E3:E13)</f>
        <v>5.0945302844047552E-2</v>
      </c>
      <c r="D9" s="108">
        <f t="shared" si="3"/>
        <v>5</v>
      </c>
      <c r="E9" s="87">
        <f t="shared" si="6"/>
        <v>44814</v>
      </c>
      <c r="F9" s="76">
        <f t="shared" si="0"/>
        <v>457</v>
      </c>
      <c r="G9" s="113">
        <f t="shared" si="1"/>
        <v>0.05</v>
      </c>
      <c r="H9" s="86">
        <v>0</v>
      </c>
      <c r="I9" s="50">
        <f t="shared" si="4"/>
        <v>1.2602739726027399</v>
      </c>
      <c r="J9" s="86">
        <f t="shared" si="7"/>
        <v>1.2602739726027399</v>
      </c>
      <c r="K9" s="89"/>
      <c r="L9" s="77">
        <f t="shared" si="2"/>
        <v>1.2216737011370902</v>
      </c>
      <c r="M9" s="80">
        <f t="shared" si="5"/>
        <v>1.2216737011370903E-2</v>
      </c>
      <c r="N9" s="86"/>
      <c r="O9" s="86"/>
      <c r="P9" s="91"/>
      <c r="Q9" s="91"/>
    </row>
    <row r="10" spans="1:17" ht="15" customHeight="1" x14ac:dyDescent="0.2">
      <c r="A10" s="65" t="str">
        <f>'Clase 19 DL'!A9</f>
        <v>TNA</v>
      </c>
      <c r="B10" s="65"/>
      <c r="C10" s="64">
        <f>NOMINAL(C9,4)</f>
        <v>4.9999967176322713E-2</v>
      </c>
      <c r="D10" s="108">
        <f t="shared" si="3"/>
        <v>6</v>
      </c>
      <c r="E10" s="87">
        <f t="shared" si="6"/>
        <v>44905</v>
      </c>
      <c r="F10" s="76">
        <f t="shared" ref="F10:F11" si="8">E10-$E$3</f>
        <v>548</v>
      </c>
      <c r="G10" s="113">
        <f t="shared" si="1"/>
        <v>0.05</v>
      </c>
      <c r="H10" s="86">
        <v>0</v>
      </c>
      <c r="I10" s="50">
        <f t="shared" si="4"/>
        <v>1.2465753424657535</v>
      </c>
      <c r="J10" s="86">
        <f t="shared" ref="J10:J11" si="9">I10</f>
        <v>1.2465753424657535</v>
      </c>
      <c r="K10" s="89"/>
      <c r="L10" s="77">
        <f t="shared" si="2"/>
        <v>1.2009326886101888</v>
      </c>
      <c r="M10" s="80">
        <f t="shared" ref="M10:M11" si="10">L10/100</f>
        <v>1.2009326886101887E-2</v>
      </c>
      <c r="N10" s="86"/>
      <c r="O10" s="86"/>
      <c r="P10" s="91"/>
      <c r="Q10" s="91"/>
    </row>
    <row r="11" spans="1:17" ht="15" customHeight="1" x14ac:dyDescent="0.2">
      <c r="D11" s="108">
        <f t="shared" si="3"/>
        <v>7</v>
      </c>
      <c r="E11" s="87">
        <f>+EDATE(E10,3)</f>
        <v>44995</v>
      </c>
      <c r="F11" s="76">
        <f t="shared" si="8"/>
        <v>638</v>
      </c>
      <c r="G11" s="113">
        <f t="shared" si="1"/>
        <v>0.05</v>
      </c>
      <c r="H11" s="86">
        <v>0</v>
      </c>
      <c r="I11" s="50">
        <f>+YEARFRAC(E10,E11,3)*(G11)*100</f>
        <v>1.2328767123287672</v>
      </c>
      <c r="J11" s="86">
        <f t="shared" si="9"/>
        <v>1.2328767123287672</v>
      </c>
      <c r="K11" s="89"/>
      <c r="L11" s="77">
        <f t="shared" si="2"/>
        <v>1.1804815978346306</v>
      </c>
      <c r="M11" s="80">
        <f t="shared" si="10"/>
        <v>1.1804815978346306E-2</v>
      </c>
      <c r="N11" s="86"/>
      <c r="O11" s="86"/>
      <c r="P11" s="91"/>
      <c r="Q11" s="91"/>
    </row>
    <row r="12" spans="1:17" ht="15" customHeight="1" x14ac:dyDescent="0.2">
      <c r="A12" s="65" t="s">
        <v>36</v>
      </c>
      <c r="B12" s="65"/>
      <c r="C12" s="82">
        <f>+SUMPRODUCT(M5:M13,F5:F13)/L4/365</f>
        <v>1.9181062303363807</v>
      </c>
      <c r="D12" s="108">
        <f t="shared" si="3"/>
        <v>8</v>
      </c>
      <c r="E12" s="87">
        <f>+EDATE(E11,3)</f>
        <v>45087</v>
      </c>
      <c r="F12" s="76">
        <f>E12-$E$3</f>
        <v>730</v>
      </c>
      <c r="G12" s="113">
        <f t="shared" si="1"/>
        <v>0.05</v>
      </c>
      <c r="H12" s="86">
        <v>100</v>
      </c>
      <c r="I12" s="50">
        <f t="shared" si="4"/>
        <v>1.2602739726027399</v>
      </c>
      <c r="J12" s="86">
        <f>I12+100</f>
        <v>101.26027397260275</v>
      </c>
      <c r="K12" s="89"/>
      <c r="L12" s="77">
        <f t="shared" si="2"/>
        <v>96.351611923640718</v>
      </c>
      <c r="M12" s="80">
        <f>L12/100</f>
        <v>0.96351611923640723</v>
      </c>
      <c r="N12" s="86"/>
      <c r="O12" s="86"/>
      <c r="P12" s="91"/>
      <c r="Q12" s="91"/>
    </row>
    <row r="13" spans="1:17" ht="15" customHeight="1" x14ac:dyDescent="0.2">
      <c r="A13" s="65" t="s">
        <v>37</v>
      </c>
      <c r="B13" s="75">
        <f>+C13*365</f>
        <v>730</v>
      </c>
      <c r="C13" s="92">
        <f>+(E12-E3)/365</f>
        <v>2</v>
      </c>
      <c r="D13" s="108"/>
      <c r="E13" s="87"/>
      <c r="F13" s="76"/>
      <c r="G13" s="113"/>
      <c r="H13" s="86"/>
      <c r="I13" s="50"/>
      <c r="J13" s="86"/>
      <c r="K13" s="89"/>
      <c r="L13" s="77"/>
      <c r="M13" s="80"/>
      <c r="N13" s="86"/>
      <c r="O13" s="86"/>
      <c r="P13" s="91"/>
      <c r="Q13" s="91"/>
    </row>
    <row r="14" spans="1:17" ht="15" customHeight="1" x14ac:dyDescent="0.2">
      <c r="N14" s="86"/>
      <c r="O14" s="86"/>
      <c r="P14" s="91"/>
      <c r="Q14" s="91"/>
    </row>
    <row r="15" spans="1:17" ht="15" customHeight="1" x14ac:dyDescent="0.2">
      <c r="D15" s="108"/>
      <c r="L15" s="77"/>
      <c r="M15" s="80">
        <f t="shared" ref="M15" si="11">L15/100</f>
        <v>0</v>
      </c>
      <c r="O15" s="86"/>
    </row>
    <row r="16" spans="1:17" ht="15" customHeight="1" x14ac:dyDescent="0.2">
      <c r="D16" s="108"/>
    </row>
    <row r="17" spans="4:4" ht="15" customHeight="1" x14ac:dyDescent="0.2">
      <c r="D17" s="108"/>
    </row>
    <row r="18" spans="4:4" s="73" customFormat="1" ht="15" customHeight="1" x14ac:dyDescent="0.2">
      <c r="D18" s="116"/>
    </row>
    <row r="19" spans="4:4" ht="15" customHeight="1" x14ac:dyDescent="0.2">
      <c r="D19" s="108"/>
    </row>
    <row r="20" spans="4:4" ht="15" customHeight="1" x14ac:dyDescent="0.2">
      <c r="D20" s="108"/>
    </row>
    <row r="21" spans="4:4" ht="15" customHeight="1" x14ac:dyDescent="0.2"/>
    <row r="22" spans="4:4" ht="15" customHeight="1" x14ac:dyDescent="0.2"/>
    <row r="23" spans="4:4" ht="15" customHeight="1" x14ac:dyDescent="0.2"/>
    <row r="24" spans="4:4" ht="15" customHeight="1" x14ac:dyDescent="0.2"/>
    <row r="25" spans="4:4" ht="15" customHeight="1" x14ac:dyDescent="0.2"/>
    <row r="26" spans="4:4" ht="15" customHeight="1" x14ac:dyDescent="0.2"/>
    <row r="27" spans="4:4" ht="15" customHeight="1" x14ac:dyDescent="0.2"/>
    <row r="28" spans="4:4" ht="15" customHeight="1" x14ac:dyDescent="0.2"/>
    <row r="29" spans="4:4" ht="15" customHeight="1" x14ac:dyDescent="0.2"/>
    <row r="30" spans="4:4" ht="15" customHeight="1" x14ac:dyDescent="0.2"/>
  </sheetData>
  <sheetProtection algorithmName="SHA-512" hashValue="UQw762LJ1Rou6ytQp5Pj9avH/C9DWD1aJS650VnrWnxErnCWWcWfvK/qWnJc0D8mKL4hhNp7YVBvCeOQtj3nDA==" saltValue="+Tas+3i7oNmwhs5tto2A+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46"/>
  <sheetViews>
    <sheetView workbookViewId="0">
      <selection sqref="A1:XFD1048576"/>
    </sheetView>
  </sheetViews>
  <sheetFormatPr baseColWidth="10" defaultColWidth="10.85546875" defaultRowHeight="12" x14ac:dyDescent="0.2"/>
  <cols>
    <col min="1" max="16384" width="10.85546875" style="33"/>
  </cols>
  <sheetData>
    <row r="3" spans="2:4" x14ac:dyDescent="0.2">
      <c r="B3" s="21" t="s">
        <v>28</v>
      </c>
      <c r="C3" s="21" t="s">
        <v>29</v>
      </c>
    </row>
    <row r="4" spans="2:4" x14ac:dyDescent="0.2">
      <c r="B4" s="22">
        <v>44348</v>
      </c>
      <c r="C4" s="23">
        <v>34.0625</v>
      </c>
      <c r="D4" s="33">
        <f>AVERAGE(C4:C8)</f>
        <v>34.112499999999997</v>
      </c>
    </row>
    <row r="5" spans="2:4" x14ac:dyDescent="0.2">
      <c r="B5" s="22">
        <v>44347</v>
      </c>
      <c r="C5" s="23">
        <v>34.125</v>
      </c>
    </row>
    <row r="6" spans="2:4" x14ac:dyDescent="0.2">
      <c r="B6" s="22">
        <v>44344</v>
      </c>
      <c r="C6" s="23">
        <v>34.0625</v>
      </c>
    </row>
    <row r="7" spans="2:4" x14ac:dyDescent="0.2">
      <c r="B7" s="22">
        <v>44343</v>
      </c>
      <c r="C7" s="23">
        <v>34.125</v>
      </c>
    </row>
    <row r="8" spans="2:4" x14ac:dyDescent="0.2">
      <c r="B8" s="22">
        <v>44342</v>
      </c>
      <c r="C8" s="23">
        <v>34.1875</v>
      </c>
    </row>
    <row r="9" spans="2:4" x14ac:dyDescent="0.2">
      <c r="B9" s="22">
        <v>44337</v>
      </c>
      <c r="C9" s="23">
        <v>34.0625</v>
      </c>
    </row>
    <row r="10" spans="2:4" x14ac:dyDescent="0.2">
      <c r="B10" s="22">
        <v>44336</v>
      </c>
      <c r="C10" s="23">
        <v>34.125</v>
      </c>
    </row>
    <row r="11" spans="2:4" x14ac:dyDescent="0.2">
      <c r="B11" s="22">
        <v>44335</v>
      </c>
      <c r="C11" s="23">
        <v>34.1875</v>
      </c>
    </row>
    <row r="12" spans="2:4" x14ac:dyDescent="0.2">
      <c r="B12" s="22">
        <v>44334</v>
      </c>
      <c r="C12" s="23">
        <v>34.1875</v>
      </c>
    </row>
    <row r="13" spans="2:4" x14ac:dyDescent="0.2">
      <c r="B13" s="22">
        <v>44333</v>
      </c>
      <c r="C13" s="23">
        <v>34.0625</v>
      </c>
    </row>
    <row r="14" spans="2:4" x14ac:dyDescent="0.2">
      <c r="B14" s="22">
        <v>44330</v>
      </c>
      <c r="C14" s="23">
        <v>34.0625</v>
      </c>
    </row>
    <row r="15" spans="2:4" x14ac:dyDescent="0.2">
      <c r="B15" s="22">
        <v>44329</v>
      </c>
      <c r="C15" s="23">
        <v>34.1875</v>
      </c>
    </row>
    <row r="16" spans="2:4" x14ac:dyDescent="0.2">
      <c r="B16" s="22">
        <v>44328</v>
      </c>
      <c r="C16" s="23">
        <v>34.1875</v>
      </c>
    </row>
    <row r="17" spans="2:3" x14ac:dyDescent="0.2">
      <c r="B17" s="22">
        <v>44327</v>
      </c>
      <c r="C17" s="23">
        <v>34.125</v>
      </c>
    </row>
    <row r="18" spans="2:3" x14ac:dyDescent="0.2">
      <c r="B18" s="22">
        <v>44326</v>
      </c>
      <c r="C18" s="23">
        <v>34</v>
      </c>
    </row>
    <row r="19" spans="2:3" x14ac:dyDescent="0.2">
      <c r="B19" s="22">
        <v>44323</v>
      </c>
      <c r="C19" s="23">
        <v>34.125</v>
      </c>
    </row>
    <row r="20" spans="2:3" x14ac:dyDescent="0.2">
      <c r="B20" s="22">
        <v>44322</v>
      </c>
      <c r="C20" s="23">
        <v>34.125</v>
      </c>
    </row>
    <row r="21" spans="2:3" x14ac:dyDescent="0.2">
      <c r="B21" s="22">
        <v>44321</v>
      </c>
      <c r="C21" s="23">
        <v>33.875</v>
      </c>
    </row>
    <row r="22" spans="2:3" x14ac:dyDescent="0.2">
      <c r="B22" s="22">
        <v>44320</v>
      </c>
      <c r="C22" s="23">
        <v>34.125</v>
      </c>
    </row>
    <row r="23" spans="2:3" x14ac:dyDescent="0.2">
      <c r="B23" s="22">
        <v>44319</v>
      </c>
      <c r="C23" s="23">
        <v>34.25</v>
      </c>
    </row>
    <row r="24" spans="2:3" x14ac:dyDescent="0.2">
      <c r="B24" s="22">
        <v>44316</v>
      </c>
      <c r="C24" s="23">
        <v>34.0625</v>
      </c>
    </row>
    <row r="25" spans="2:3" x14ac:dyDescent="0.2">
      <c r="B25" s="22">
        <v>44315</v>
      </c>
      <c r="C25" s="23">
        <v>34.1875</v>
      </c>
    </row>
    <row r="26" spans="2:3" x14ac:dyDescent="0.2">
      <c r="B26" s="22">
        <v>44314</v>
      </c>
      <c r="C26" s="23">
        <v>33.9375</v>
      </c>
    </row>
    <row r="27" spans="2:3" x14ac:dyDescent="0.2">
      <c r="B27" s="22">
        <v>44313</v>
      </c>
      <c r="C27" s="23">
        <v>34.125</v>
      </c>
    </row>
    <row r="28" spans="2:3" x14ac:dyDescent="0.2">
      <c r="B28" s="22">
        <v>44312</v>
      </c>
      <c r="C28" s="23">
        <v>34.0625</v>
      </c>
    </row>
    <row r="29" spans="2:3" x14ac:dyDescent="0.2">
      <c r="B29" s="22">
        <v>44309</v>
      </c>
      <c r="C29" s="23">
        <v>34.125</v>
      </c>
    </row>
    <row r="30" spans="2:3" x14ac:dyDescent="0.2">
      <c r="B30" s="22">
        <v>44308</v>
      </c>
      <c r="C30" s="23">
        <v>34.25</v>
      </c>
    </row>
    <row r="31" spans="2:3" x14ac:dyDescent="0.2">
      <c r="B31" s="22">
        <v>44307</v>
      </c>
      <c r="C31" s="23">
        <v>34.125</v>
      </c>
    </row>
    <row r="32" spans="2:3" x14ac:dyDescent="0.2">
      <c r="B32" s="22">
        <v>44306</v>
      </c>
      <c r="C32" s="23">
        <v>34.0625</v>
      </c>
    </row>
    <row r="33" spans="2:3" x14ac:dyDescent="0.2">
      <c r="B33" s="22">
        <v>44305</v>
      </c>
      <c r="C33" s="23">
        <v>34.1875</v>
      </c>
    </row>
    <row r="34" spans="2:3" x14ac:dyDescent="0.2">
      <c r="B34" s="22">
        <v>44302</v>
      </c>
      <c r="C34" s="23">
        <v>34.125</v>
      </c>
    </row>
    <row r="35" spans="2:3" x14ac:dyDescent="0.2">
      <c r="B35" s="22">
        <v>44301</v>
      </c>
      <c r="C35" s="23">
        <v>34.0625</v>
      </c>
    </row>
    <row r="36" spans="2:3" x14ac:dyDescent="0.2">
      <c r="B36" s="22">
        <v>44300</v>
      </c>
      <c r="C36" s="23">
        <v>34</v>
      </c>
    </row>
    <row r="37" spans="2:3" x14ac:dyDescent="0.2">
      <c r="B37" s="22">
        <v>44299</v>
      </c>
      <c r="C37" s="23">
        <v>34.1875</v>
      </c>
    </row>
    <row r="38" spans="2:3" x14ac:dyDescent="0.2">
      <c r="B38" s="22">
        <v>44298</v>
      </c>
      <c r="C38" s="23">
        <v>34.1875</v>
      </c>
    </row>
    <row r="39" spans="2:3" x14ac:dyDescent="0.2">
      <c r="B39" s="22">
        <v>44295</v>
      </c>
      <c r="C39" s="23">
        <v>34.0625</v>
      </c>
    </row>
    <row r="40" spans="2:3" x14ac:dyDescent="0.2">
      <c r="B40" s="22">
        <v>44294</v>
      </c>
      <c r="C40" s="23">
        <v>34.0625</v>
      </c>
    </row>
    <row r="41" spans="2:3" x14ac:dyDescent="0.2">
      <c r="B41" s="22">
        <v>44293</v>
      </c>
      <c r="C41" s="23">
        <v>34.0625</v>
      </c>
    </row>
    <row r="42" spans="2:3" x14ac:dyDescent="0.2">
      <c r="B42" s="22">
        <v>44292</v>
      </c>
      <c r="C42" s="23">
        <v>34.125</v>
      </c>
    </row>
    <row r="43" spans="2:3" x14ac:dyDescent="0.2">
      <c r="B43" s="22">
        <v>44291</v>
      </c>
      <c r="C43" s="23">
        <v>33.9375</v>
      </c>
    </row>
    <row r="44" spans="2:3" x14ac:dyDescent="0.2">
      <c r="B44" s="22">
        <v>44286</v>
      </c>
      <c r="C44" s="23">
        <v>34.0625</v>
      </c>
    </row>
    <row r="45" spans="2:3" x14ac:dyDescent="0.2">
      <c r="B45" s="22">
        <v>44285</v>
      </c>
      <c r="C45" s="23">
        <v>34.125</v>
      </c>
    </row>
    <row r="46" spans="2:3" x14ac:dyDescent="0.2">
      <c r="B46" s="22">
        <v>44284</v>
      </c>
      <c r="C46" s="23">
        <v>33.75</v>
      </c>
    </row>
    <row r="47" spans="2:3" x14ac:dyDescent="0.2">
      <c r="B47" s="22">
        <v>44281</v>
      </c>
      <c r="C47" s="23">
        <v>34.1875</v>
      </c>
    </row>
    <row r="48" spans="2:3" x14ac:dyDescent="0.2">
      <c r="B48" s="22">
        <v>44280</v>
      </c>
      <c r="C48" s="23">
        <v>34</v>
      </c>
    </row>
    <row r="49" spans="2:3" x14ac:dyDescent="0.2">
      <c r="B49" s="22">
        <v>44278</v>
      </c>
      <c r="C49" s="23">
        <v>34.1875</v>
      </c>
    </row>
    <row r="50" spans="2:3" x14ac:dyDescent="0.2">
      <c r="B50" s="22">
        <v>44277</v>
      </c>
      <c r="C50" s="23">
        <v>34.125</v>
      </c>
    </row>
    <row r="51" spans="2:3" x14ac:dyDescent="0.2">
      <c r="B51" s="22">
        <v>44274</v>
      </c>
      <c r="C51" s="23">
        <v>34.125</v>
      </c>
    </row>
    <row r="52" spans="2:3" x14ac:dyDescent="0.2">
      <c r="B52" s="22">
        <v>44273</v>
      </c>
      <c r="C52" s="23">
        <v>34.0625</v>
      </c>
    </row>
    <row r="53" spans="2:3" x14ac:dyDescent="0.2">
      <c r="B53" s="22">
        <v>44272</v>
      </c>
      <c r="C53" s="23">
        <v>34.125</v>
      </c>
    </row>
    <row r="54" spans="2:3" x14ac:dyDescent="0.2">
      <c r="B54" s="22">
        <v>44271</v>
      </c>
      <c r="C54" s="23">
        <v>34.0625</v>
      </c>
    </row>
    <row r="55" spans="2:3" x14ac:dyDescent="0.2">
      <c r="B55" s="22">
        <v>44270</v>
      </c>
      <c r="C55" s="23">
        <v>34</v>
      </c>
    </row>
    <row r="56" spans="2:3" x14ac:dyDescent="0.2">
      <c r="B56" s="22">
        <v>44267</v>
      </c>
      <c r="C56" s="23">
        <v>34.1875</v>
      </c>
    </row>
    <row r="57" spans="2:3" x14ac:dyDescent="0.2">
      <c r="B57" s="22">
        <v>44266</v>
      </c>
      <c r="C57" s="23">
        <v>34.1875</v>
      </c>
    </row>
    <row r="58" spans="2:3" x14ac:dyDescent="0.2">
      <c r="B58" s="22">
        <v>44265</v>
      </c>
      <c r="C58" s="23">
        <v>34</v>
      </c>
    </row>
    <row r="59" spans="2:3" x14ac:dyDescent="0.2">
      <c r="B59" s="22">
        <v>44264</v>
      </c>
      <c r="C59" s="23">
        <v>34.0625</v>
      </c>
    </row>
    <row r="60" spans="2:3" x14ac:dyDescent="0.2">
      <c r="B60" s="22">
        <v>44263</v>
      </c>
      <c r="C60" s="23">
        <v>34.1875</v>
      </c>
    </row>
    <row r="61" spans="2:3" x14ac:dyDescent="0.2">
      <c r="B61" s="22">
        <v>44260</v>
      </c>
      <c r="C61" s="23">
        <v>33.875</v>
      </c>
    </row>
    <row r="62" spans="2:3" x14ac:dyDescent="0.2">
      <c r="B62" s="22">
        <v>44259</v>
      </c>
      <c r="C62" s="23">
        <v>33.875</v>
      </c>
    </row>
    <row r="63" spans="2:3" x14ac:dyDescent="0.2">
      <c r="B63" s="22">
        <v>44258</v>
      </c>
      <c r="C63" s="23">
        <v>34.1875</v>
      </c>
    </row>
    <row r="64" spans="2:3" x14ac:dyDescent="0.2">
      <c r="B64" s="22">
        <v>44257</v>
      </c>
      <c r="C64" s="23">
        <v>34.0625</v>
      </c>
    </row>
    <row r="65" spans="2:3" x14ac:dyDescent="0.2">
      <c r="B65" s="22">
        <v>44256</v>
      </c>
      <c r="C65" s="23">
        <v>34.0625</v>
      </c>
    </row>
    <row r="66" spans="2:3" x14ac:dyDescent="0.2">
      <c r="B66" s="22">
        <v>44253</v>
      </c>
      <c r="C66" s="23">
        <v>34.1875</v>
      </c>
    </row>
    <row r="67" spans="2:3" x14ac:dyDescent="0.2">
      <c r="B67" s="22">
        <v>44252</v>
      </c>
      <c r="C67" s="23">
        <v>34.1875</v>
      </c>
    </row>
    <row r="68" spans="2:3" x14ac:dyDescent="0.2">
      <c r="B68" s="22">
        <v>44251</v>
      </c>
      <c r="C68" s="23">
        <v>34.125</v>
      </c>
    </row>
    <row r="69" spans="2:3" x14ac:dyDescent="0.2">
      <c r="B69" s="22">
        <v>44250</v>
      </c>
      <c r="C69" s="23">
        <v>34.125</v>
      </c>
    </row>
    <row r="70" spans="2:3" x14ac:dyDescent="0.2">
      <c r="B70" s="22">
        <v>44249</v>
      </c>
      <c r="C70" s="23">
        <v>34.125</v>
      </c>
    </row>
    <row r="71" spans="2:3" x14ac:dyDescent="0.2">
      <c r="B71" s="22">
        <v>44246</v>
      </c>
      <c r="C71" s="23">
        <v>33.75</v>
      </c>
    </row>
    <row r="72" spans="2:3" x14ac:dyDescent="0.2">
      <c r="B72" s="22">
        <v>44245</v>
      </c>
      <c r="C72" s="23">
        <v>34.25</v>
      </c>
    </row>
    <row r="73" spans="2:3" x14ac:dyDescent="0.2">
      <c r="B73" s="22">
        <v>44244</v>
      </c>
      <c r="C73" s="23">
        <v>34.25</v>
      </c>
    </row>
    <row r="74" spans="2:3" x14ac:dyDescent="0.2">
      <c r="B74" s="22">
        <v>44239</v>
      </c>
      <c r="C74" s="23">
        <v>34</v>
      </c>
    </row>
    <row r="75" spans="2:3" x14ac:dyDescent="0.2">
      <c r="B75" s="22">
        <v>44238</v>
      </c>
      <c r="C75" s="23">
        <v>34.125</v>
      </c>
    </row>
    <row r="76" spans="2:3" x14ac:dyDescent="0.2">
      <c r="B76" s="22">
        <v>44237</v>
      </c>
      <c r="C76" s="23">
        <v>34.1875</v>
      </c>
    </row>
    <row r="77" spans="2:3" x14ac:dyDescent="0.2">
      <c r="B77" s="22">
        <v>44236</v>
      </c>
      <c r="C77" s="23">
        <v>34.25</v>
      </c>
    </row>
    <row r="78" spans="2:3" x14ac:dyDescent="0.2">
      <c r="B78" s="22">
        <v>44235</v>
      </c>
      <c r="C78" s="23">
        <v>34.125</v>
      </c>
    </row>
    <row r="79" spans="2:3" x14ac:dyDescent="0.2">
      <c r="B79" s="22">
        <v>44232</v>
      </c>
      <c r="C79" s="23">
        <v>34.0625</v>
      </c>
    </row>
    <row r="80" spans="2:3" x14ac:dyDescent="0.2">
      <c r="B80" s="22">
        <v>44231</v>
      </c>
      <c r="C80" s="23">
        <v>34.1875</v>
      </c>
    </row>
    <row r="81" spans="2:3" x14ac:dyDescent="0.2">
      <c r="B81" s="22">
        <v>44230</v>
      </c>
      <c r="C81" s="23">
        <v>34</v>
      </c>
    </row>
    <row r="82" spans="2:3" x14ac:dyDescent="0.2">
      <c r="B82" s="22">
        <v>44229</v>
      </c>
      <c r="C82" s="23">
        <v>34.1875</v>
      </c>
    </row>
    <row r="83" spans="2:3" x14ac:dyDescent="0.2">
      <c r="B83" s="22">
        <v>44228</v>
      </c>
      <c r="C83" s="23">
        <v>34.1875</v>
      </c>
    </row>
    <row r="84" spans="2:3" x14ac:dyDescent="0.2">
      <c r="B84" s="22">
        <v>44225</v>
      </c>
      <c r="C84" s="23">
        <v>34.1875</v>
      </c>
    </row>
    <row r="85" spans="2:3" x14ac:dyDescent="0.2">
      <c r="B85" s="22">
        <v>44224</v>
      </c>
      <c r="C85" s="23">
        <v>34.1875</v>
      </c>
    </row>
    <row r="86" spans="2:3" x14ac:dyDescent="0.2">
      <c r="B86" s="22">
        <v>44223</v>
      </c>
      <c r="C86" s="23">
        <v>34.0625</v>
      </c>
    </row>
    <row r="87" spans="2:3" x14ac:dyDescent="0.2">
      <c r="B87" s="22">
        <v>44222</v>
      </c>
      <c r="C87" s="23">
        <v>33.875</v>
      </c>
    </row>
    <row r="88" spans="2:3" x14ac:dyDescent="0.2">
      <c r="B88" s="22">
        <v>44221</v>
      </c>
      <c r="C88" s="23">
        <v>33.8125</v>
      </c>
    </row>
    <row r="89" spans="2:3" x14ac:dyDescent="0.2">
      <c r="B89" s="22">
        <v>44218</v>
      </c>
      <c r="C89" s="23">
        <v>34</v>
      </c>
    </row>
    <row r="90" spans="2:3" x14ac:dyDescent="0.2">
      <c r="B90" s="22">
        <v>44217</v>
      </c>
      <c r="C90" s="23">
        <v>34</v>
      </c>
    </row>
    <row r="91" spans="2:3" x14ac:dyDescent="0.2">
      <c r="B91" s="22">
        <v>44216</v>
      </c>
      <c r="C91" s="23">
        <v>34.3125</v>
      </c>
    </row>
    <row r="92" spans="2:3" x14ac:dyDescent="0.2">
      <c r="B92" s="22">
        <v>44215</v>
      </c>
      <c r="C92" s="23">
        <v>34.1875</v>
      </c>
    </row>
    <row r="93" spans="2:3" x14ac:dyDescent="0.2">
      <c r="B93" s="22">
        <v>44214</v>
      </c>
      <c r="C93" s="23">
        <v>34.1875</v>
      </c>
    </row>
    <row r="94" spans="2:3" x14ac:dyDescent="0.2">
      <c r="B94" s="22">
        <v>44211</v>
      </c>
      <c r="C94" s="23">
        <v>34.5625</v>
      </c>
    </row>
    <row r="95" spans="2:3" x14ac:dyDescent="0.2">
      <c r="B95" s="22">
        <v>44210</v>
      </c>
      <c r="C95" s="23">
        <v>34.375</v>
      </c>
    </row>
    <row r="96" spans="2:3" x14ac:dyDescent="0.2">
      <c r="B96" s="22">
        <v>44209</v>
      </c>
      <c r="C96" s="23">
        <v>34</v>
      </c>
    </row>
    <row r="97" spans="2:3" x14ac:dyDescent="0.2">
      <c r="B97" s="22">
        <v>44208</v>
      </c>
      <c r="C97" s="23">
        <v>34.125</v>
      </c>
    </row>
    <row r="98" spans="2:3" x14ac:dyDescent="0.2">
      <c r="B98" s="22">
        <v>44207</v>
      </c>
      <c r="C98" s="23">
        <v>34.3125</v>
      </c>
    </row>
    <row r="99" spans="2:3" x14ac:dyDescent="0.2">
      <c r="B99" s="22">
        <v>44204</v>
      </c>
      <c r="C99" s="23">
        <v>34.125</v>
      </c>
    </row>
    <row r="100" spans="2:3" x14ac:dyDescent="0.2">
      <c r="B100" s="22">
        <v>44203</v>
      </c>
      <c r="C100" s="23">
        <v>33.8125</v>
      </c>
    </row>
    <row r="101" spans="2:3" x14ac:dyDescent="0.2">
      <c r="B101" s="22">
        <v>44202</v>
      </c>
      <c r="C101" s="23">
        <v>33.9375</v>
      </c>
    </row>
    <row r="102" spans="2:3" x14ac:dyDescent="0.2">
      <c r="B102" s="22">
        <v>44201</v>
      </c>
      <c r="C102" s="23">
        <v>34.3125</v>
      </c>
    </row>
    <row r="103" spans="2:3" x14ac:dyDescent="0.2">
      <c r="B103" s="22">
        <v>44200</v>
      </c>
      <c r="C103" s="23">
        <v>34.0625</v>
      </c>
    </row>
    <row r="104" spans="2:3" x14ac:dyDescent="0.2">
      <c r="B104" s="22">
        <v>44195</v>
      </c>
      <c r="C104" s="23">
        <v>34.25</v>
      </c>
    </row>
    <row r="105" spans="2:3" x14ac:dyDescent="0.2">
      <c r="B105" s="22">
        <v>44194</v>
      </c>
      <c r="C105" s="23">
        <v>34.1875</v>
      </c>
    </row>
    <row r="106" spans="2:3" x14ac:dyDescent="0.2">
      <c r="B106" s="22">
        <v>44193</v>
      </c>
      <c r="C106" s="23">
        <v>34.125</v>
      </c>
    </row>
    <row r="107" spans="2:3" x14ac:dyDescent="0.2">
      <c r="B107" s="22">
        <v>44188</v>
      </c>
      <c r="C107" s="23">
        <v>34.0625</v>
      </c>
    </row>
    <row r="108" spans="2:3" x14ac:dyDescent="0.2">
      <c r="B108" s="22">
        <v>44187</v>
      </c>
      <c r="C108" s="23">
        <v>34.0625</v>
      </c>
    </row>
    <row r="109" spans="2:3" x14ac:dyDescent="0.2">
      <c r="B109" s="22">
        <v>44186</v>
      </c>
      <c r="C109" s="23">
        <v>34.25</v>
      </c>
    </row>
    <row r="110" spans="2:3" x14ac:dyDescent="0.2">
      <c r="B110" s="22">
        <v>44183</v>
      </c>
      <c r="C110" s="23">
        <v>34.3125</v>
      </c>
    </row>
    <row r="111" spans="2:3" x14ac:dyDescent="0.2">
      <c r="B111" s="22">
        <v>44182</v>
      </c>
      <c r="C111" s="23">
        <v>34.1875</v>
      </c>
    </row>
    <row r="112" spans="2:3" x14ac:dyDescent="0.2">
      <c r="B112" s="22">
        <v>44181</v>
      </c>
      <c r="C112" s="23">
        <v>34.1875</v>
      </c>
    </row>
    <row r="113" spans="2:3" x14ac:dyDescent="0.2">
      <c r="B113" s="22">
        <v>44180</v>
      </c>
      <c r="C113" s="23">
        <v>34.5</v>
      </c>
    </row>
    <row r="114" spans="2:3" x14ac:dyDescent="0.2">
      <c r="B114" s="22">
        <v>44179</v>
      </c>
      <c r="C114" s="23">
        <v>34.0625</v>
      </c>
    </row>
    <row r="115" spans="2:3" x14ac:dyDescent="0.2">
      <c r="B115" s="22">
        <v>44176</v>
      </c>
      <c r="C115" s="23">
        <v>34.125</v>
      </c>
    </row>
    <row r="116" spans="2:3" x14ac:dyDescent="0.2">
      <c r="B116" s="22">
        <v>44175</v>
      </c>
      <c r="C116" s="23">
        <v>34.375</v>
      </c>
    </row>
    <row r="117" spans="2:3" x14ac:dyDescent="0.2">
      <c r="B117" s="22">
        <v>44174</v>
      </c>
      <c r="C117" s="23">
        <v>34.25</v>
      </c>
    </row>
    <row r="118" spans="2:3" x14ac:dyDescent="0.2">
      <c r="B118" s="22">
        <v>44169</v>
      </c>
      <c r="C118" s="23">
        <v>34.0625</v>
      </c>
    </row>
    <row r="119" spans="2:3" x14ac:dyDescent="0.2">
      <c r="B119" s="22">
        <v>44168</v>
      </c>
      <c r="C119" s="23">
        <v>34.1875</v>
      </c>
    </row>
    <row r="120" spans="2:3" x14ac:dyDescent="0.2">
      <c r="B120" s="22">
        <v>44167</v>
      </c>
      <c r="C120" s="23">
        <v>34.3125</v>
      </c>
    </row>
    <row r="121" spans="2:3" x14ac:dyDescent="0.2">
      <c r="B121" s="22">
        <v>44166</v>
      </c>
      <c r="C121" s="23">
        <v>34.375</v>
      </c>
    </row>
    <row r="122" spans="2:3" x14ac:dyDescent="0.2">
      <c r="B122" s="22">
        <v>44165</v>
      </c>
      <c r="C122" s="23">
        <v>33.75</v>
      </c>
    </row>
    <row r="123" spans="2:3" x14ac:dyDescent="0.2">
      <c r="B123" s="22">
        <v>44162</v>
      </c>
      <c r="C123" s="23">
        <v>33.75</v>
      </c>
    </row>
    <row r="124" spans="2:3" x14ac:dyDescent="0.2">
      <c r="B124" s="22">
        <v>44161</v>
      </c>
      <c r="C124" s="23">
        <v>34.0625</v>
      </c>
    </row>
    <row r="125" spans="2:3" x14ac:dyDescent="0.2">
      <c r="B125" s="22">
        <v>44160</v>
      </c>
      <c r="C125" s="23">
        <v>33.625</v>
      </c>
    </row>
    <row r="126" spans="2:3" x14ac:dyDescent="0.2">
      <c r="B126" s="22">
        <v>44159</v>
      </c>
      <c r="C126" s="23">
        <v>33.875</v>
      </c>
    </row>
    <row r="127" spans="2:3" x14ac:dyDescent="0.2">
      <c r="B127" s="22">
        <v>44155</v>
      </c>
      <c r="C127" s="23">
        <v>34.0625</v>
      </c>
    </row>
    <row r="128" spans="2:3" x14ac:dyDescent="0.2">
      <c r="B128" s="22">
        <v>44154</v>
      </c>
      <c r="C128" s="23">
        <v>33.875</v>
      </c>
    </row>
    <row r="129" spans="2:3" x14ac:dyDescent="0.2">
      <c r="B129" s="22">
        <v>44153</v>
      </c>
      <c r="C129" s="23">
        <v>33.875</v>
      </c>
    </row>
    <row r="130" spans="2:3" x14ac:dyDescent="0.2">
      <c r="B130" s="22">
        <v>44152</v>
      </c>
      <c r="C130" s="23">
        <v>33.9375</v>
      </c>
    </row>
    <row r="131" spans="2:3" x14ac:dyDescent="0.2">
      <c r="B131" s="22">
        <v>44151</v>
      </c>
      <c r="C131" s="23">
        <v>33.875</v>
      </c>
    </row>
    <row r="132" spans="2:3" x14ac:dyDescent="0.2">
      <c r="B132" s="22">
        <v>44148</v>
      </c>
      <c r="C132" s="23">
        <v>31.6875</v>
      </c>
    </row>
    <row r="133" spans="2:3" x14ac:dyDescent="0.2">
      <c r="B133" s="22">
        <v>44147</v>
      </c>
      <c r="C133" s="23">
        <v>31.6875</v>
      </c>
    </row>
    <row r="134" spans="2:3" x14ac:dyDescent="0.2">
      <c r="B134" s="22">
        <v>44146</v>
      </c>
      <c r="C134" s="23">
        <v>31.5625</v>
      </c>
    </row>
    <row r="135" spans="2:3" x14ac:dyDescent="0.2">
      <c r="B135" s="22">
        <v>44145</v>
      </c>
      <c r="C135" s="23">
        <v>31.8125</v>
      </c>
    </row>
    <row r="136" spans="2:3" x14ac:dyDescent="0.2">
      <c r="B136" s="22">
        <v>44144</v>
      </c>
      <c r="C136" s="23">
        <v>31.75</v>
      </c>
    </row>
    <row r="137" spans="2:3" x14ac:dyDescent="0.2">
      <c r="B137" s="22">
        <v>44141</v>
      </c>
      <c r="C137" s="23">
        <v>31.4375</v>
      </c>
    </row>
    <row r="138" spans="2:3" x14ac:dyDescent="0.2">
      <c r="B138" s="22">
        <v>44140</v>
      </c>
      <c r="C138" s="23">
        <v>31.4375</v>
      </c>
    </row>
    <row r="139" spans="2:3" x14ac:dyDescent="0.2">
      <c r="B139" s="22">
        <v>44139</v>
      </c>
      <c r="C139" s="23">
        <v>31.4375</v>
      </c>
    </row>
    <row r="140" spans="2:3" x14ac:dyDescent="0.2">
      <c r="B140" s="22">
        <v>44138</v>
      </c>
      <c r="C140" s="23">
        <v>31.75</v>
      </c>
    </row>
    <row r="141" spans="2:3" x14ac:dyDescent="0.2">
      <c r="B141" s="22">
        <v>44137</v>
      </c>
      <c r="C141" s="23">
        <v>31.75</v>
      </c>
    </row>
    <row r="142" spans="2:3" x14ac:dyDescent="0.2">
      <c r="B142" s="22">
        <v>44134</v>
      </c>
      <c r="C142" s="23">
        <v>31.75</v>
      </c>
    </row>
    <row r="143" spans="2:3" x14ac:dyDescent="0.2">
      <c r="B143" s="22">
        <v>44133</v>
      </c>
      <c r="C143" s="23">
        <v>31.6875</v>
      </c>
    </row>
    <row r="144" spans="2:3" x14ac:dyDescent="0.2">
      <c r="B144" s="22">
        <v>44132</v>
      </c>
      <c r="C144" s="23">
        <v>31.6875</v>
      </c>
    </row>
    <row r="145" spans="2:3" x14ac:dyDescent="0.2">
      <c r="B145" s="22">
        <v>44131</v>
      </c>
      <c r="C145" s="23">
        <v>31.5625</v>
      </c>
    </row>
    <row r="146" spans="2:3" x14ac:dyDescent="0.2">
      <c r="B146" s="22">
        <v>44130</v>
      </c>
      <c r="C146" s="23">
        <v>31.5625</v>
      </c>
    </row>
    <row r="147" spans="2:3" x14ac:dyDescent="0.2">
      <c r="B147" s="22">
        <v>44127</v>
      </c>
      <c r="C147" s="23">
        <v>31.5625</v>
      </c>
    </row>
    <row r="148" spans="2:3" x14ac:dyDescent="0.2">
      <c r="B148" s="22">
        <v>44126</v>
      </c>
      <c r="C148" s="23">
        <v>31.125</v>
      </c>
    </row>
    <row r="149" spans="2:3" x14ac:dyDescent="0.2">
      <c r="B149" s="22">
        <v>44125</v>
      </c>
      <c r="C149" s="23">
        <v>31.75</v>
      </c>
    </row>
    <row r="150" spans="2:3" x14ac:dyDescent="0.2">
      <c r="B150" s="22">
        <v>44124</v>
      </c>
      <c r="C150" s="23">
        <v>31.875</v>
      </c>
    </row>
    <row r="151" spans="2:3" x14ac:dyDescent="0.2">
      <c r="B151" s="22">
        <v>44123</v>
      </c>
      <c r="C151" s="23">
        <v>31.5625</v>
      </c>
    </row>
    <row r="152" spans="2:3" x14ac:dyDescent="0.2">
      <c r="B152" s="22">
        <v>44120</v>
      </c>
      <c r="C152" s="23">
        <v>31.6875</v>
      </c>
    </row>
    <row r="153" spans="2:3" x14ac:dyDescent="0.2">
      <c r="B153" s="22">
        <v>44119</v>
      </c>
      <c r="C153" s="23">
        <v>30</v>
      </c>
    </row>
    <row r="154" spans="2:3" x14ac:dyDescent="0.2">
      <c r="B154" s="22">
        <v>44118</v>
      </c>
      <c r="C154" s="23">
        <v>29.625</v>
      </c>
    </row>
    <row r="155" spans="2:3" x14ac:dyDescent="0.2">
      <c r="B155" s="22">
        <v>44117</v>
      </c>
      <c r="C155" s="23">
        <v>29.8125</v>
      </c>
    </row>
    <row r="156" spans="2:3" x14ac:dyDescent="0.2">
      <c r="B156" s="22">
        <v>44113</v>
      </c>
      <c r="C156" s="23">
        <v>29.75</v>
      </c>
    </row>
    <row r="157" spans="2:3" x14ac:dyDescent="0.2">
      <c r="B157" s="22">
        <v>44112</v>
      </c>
      <c r="C157" s="23">
        <v>29.5625</v>
      </c>
    </row>
    <row r="158" spans="2:3" x14ac:dyDescent="0.2">
      <c r="B158" s="22">
        <v>44111</v>
      </c>
      <c r="C158" s="23">
        <v>29.6875</v>
      </c>
    </row>
    <row r="159" spans="2:3" x14ac:dyDescent="0.2">
      <c r="B159" s="22">
        <v>44110</v>
      </c>
      <c r="C159" s="23">
        <v>29.9375</v>
      </c>
    </row>
    <row r="160" spans="2:3" x14ac:dyDescent="0.2">
      <c r="B160" s="22">
        <v>44109</v>
      </c>
      <c r="C160" s="23">
        <v>29.875</v>
      </c>
    </row>
    <row r="161" spans="2:4" x14ac:dyDescent="0.2">
      <c r="B161" s="22">
        <v>44106</v>
      </c>
      <c r="C161" s="23">
        <v>29.6875</v>
      </c>
    </row>
    <row r="162" spans="2:4" x14ac:dyDescent="0.2">
      <c r="B162" s="22">
        <v>44105</v>
      </c>
      <c r="C162" s="23">
        <v>28.875</v>
      </c>
    </row>
    <row r="163" spans="2:4" x14ac:dyDescent="0.2">
      <c r="B163" s="22">
        <v>44104</v>
      </c>
      <c r="C163" s="23">
        <v>29.6875</v>
      </c>
    </row>
    <row r="164" spans="2:4" x14ac:dyDescent="0.2">
      <c r="B164" s="22">
        <v>44103</v>
      </c>
      <c r="C164" s="23">
        <v>30.0625</v>
      </c>
    </row>
    <row r="165" spans="2:4" x14ac:dyDescent="0.2">
      <c r="B165" s="22">
        <v>44102</v>
      </c>
      <c r="C165" s="23">
        <v>29.8125</v>
      </c>
    </row>
    <row r="166" spans="2:4" x14ac:dyDescent="0.2">
      <c r="B166" s="22">
        <v>44099</v>
      </c>
      <c r="C166" s="23">
        <v>29.5625</v>
      </c>
    </row>
    <row r="167" spans="2:4" x14ac:dyDescent="0.2">
      <c r="B167" s="22">
        <v>44098</v>
      </c>
      <c r="C167" s="23">
        <v>29.5625</v>
      </c>
    </row>
    <row r="168" spans="2:4" x14ac:dyDescent="0.2">
      <c r="B168" s="22">
        <v>44097</v>
      </c>
      <c r="C168" s="23">
        <v>29.25</v>
      </c>
    </row>
    <row r="169" spans="2:4" x14ac:dyDescent="0.2">
      <c r="B169" s="22">
        <v>44096</v>
      </c>
      <c r="C169" s="23">
        <v>29.75</v>
      </c>
      <c r="D169" s="33">
        <f>AVERAGE(C169:C173)</f>
        <v>29.875</v>
      </c>
    </row>
    <row r="170" spans="2:4" x14ac:dyDescent="0.2">
      <c r="B170" s="22">
        <v>44095</v>
      </c>
      <c r="C170" s="23">
        <v>30</v>
      </c>
      <c r="D170" s="33">
        <f t="shared" ref="D170:D175" si="0">AVERAGE(C170:C174)</f>
        <v>29.824999999999999</v>
      </c>
    </row>
    <row r="171" spans="2:4" x14ac:dyDescent="0.2">
      <c r="B171" s="22">
        <v>44092</v>
      </c>
      <c r="C171" s="23">
        <v>29.875</v>
      </c>
      <c r="D171" s="33">
        <f t="shared" si="0"/>
        <v>29.762499999999999</v>
      </c>
    </row>
    <row r="172" spans="2:4" x14ac:dyDescent="0.2">
      <c r="B172" s="22">
        <v>44091</v>
      </c>
      <c r="C172" s="23">
        <v>29.875</v>
      </c>
      <c r="D172" s="33">
        <f t="shared" si="0"/>
        <v>29.6875</v>
      </c>
    </row>
    <row r="173" spans="2:4" x14ac:dyDescent="0.2">
      <c r="B173" s="22">
        <v>44090</v>
      </c>
      <c r="C173" s="23">
        <v>29.875</v>
      </c>
      <c r="D173" s="33">
        <f>AVERAGE(C173:C177)</f>
        <v>29.65</v>
      </c>
    </row>
    <row r="174" spans="2:4" x14ac:dyDescent="0.2">
      <c r="B174" s="22">
        <v>44089</v>
      </c>
      <c r="C174" s="23">
        <v>29.5</v>
      </c>
      <c r="D174" s="33">
        <f t="shared" si="0"/>
        <v>29.662500000000001</v>
      </c>
    </row>
    <row r="175" spans="2:4" x14ac:dyDescent="0.2">
      <c r="B175" s="22">
        <v>44088</v>
      </c>
      <c r="C175" s="23">
        <v>29.6875</v>
      </c>
      <c r="D175" s="33">
        <f t="shared" si="0"/>
        <v>29.737500000000001</v>
      </c>
    </row>
    <row r="176" spans="2:4" x14ac:dyDescent="0.2">
      <c r="B176" s="22">
        <v>44085</v>
      </c>
      <c r="C176" s="23">
        <v>29.5</v>
      </c>
    </row>
    <row r="177" spans="2:3" x14ac:dyDescent="0.2">
      <c r="B177" s="22">
        <v>44084</v>
      </c>
      <c r="C177" s="23">
        <v>29.6875</v>
      </c>
    </row>
    <row r="178" spans="2:3" x14ac:dyDescent="0.2">
      <c r="B178" s="22">
        <v>44083</v>
      </c>
      <c r="C178" s="23">
        <v>29.9375</v>
      </c>
    </row>
    <row r="179" spans="2:3" x14ac:dyDescent="0.2">
      <c r="B179" s="22">
        <v>44082</v>
      </c>
      <c r="C179" s="23">
        <v>29.875</v>
      </c>
    </row>
    <row r="180" spans="2:3" x14ac:dyDescent="0.2">
      <c r="B180" s="22">
        <v>44081</v>
      </c>
      <c r="C180" s="23">
        <v>29.625</v>
      </c>
    </row>
    <row r="181" spans="2:3" x14ac:dyDescent="0.2">
      <c r="B181" s="22">
        <v>44078</v>
      </c>
      <c r="C181" s="23">
        <v>29.8125</v>
      </c>
    </row>
    <row r="182" spans="2:3" x14ac:dyDescent="0.2">
      <c r="B182" s="22">
        <v>44077</v>
      </c>
      <c r="C182" s="23">
        <v>30</v>
      </c>
    </row>
    <row r="183" spans="2:3" x14ac:dyDescent="0.2">
      <c r="B183" s="22">
        <v>44076</v>
      </c>
      <c r="C183" s="23">
        <v>29.75</v>
      </c>
    </row>
    <row r="184" spans="2:3" x14ac:dyDescent="0.2">
      <c r="B184" s="22">
        <v>44075</v>
      </c>
      <c r="C184" s="23">
        <v>29.6875</v>
      </c>
    </row>
    <row r="185" spans="2:3" x14ac:dyDescent="0.2">
      <c r="B185" s="22">
        <v>44074</v>
      </c>
      <c r="C185" s="23">
        <v>29.625</v>
      </c>
    </row>
    <row r="186" spans="2:3" x14ac:dyDescent="0.2">
      <c r="B186" s="22">
        <v>44071</v>
      </c>
      <c r="C186" s="23">
        <v>29.9375</v>
      </c>
    </row>
    <row r="187" spans="2:3" x14ac:dyDescent="0.2">
      <c r="B187" s="22">
        <v>44070</v>
      </c>
      <c r="C187" s="23">
        <v>29.1875</v>
      </c>
    </row>
    <row r="188" spans="2:3" x14ac:dyDescent="0.2">
      <c r="B188" s="22">
        <v>44069</v>
      </c>
      <c r="C188" s="23">
        <v>29.875</v>
      </c>
    </row>
    <row r="189" spans="2:3" x14ac:dyDescent="0.2">
      <c r="B189" s="22">
        <v>44068</v>
      </c>
      <c r="C189" s="23">
        <v>29.5625</v>
      </c>
    </row>
    <row r="190" spans="2:3" x14ac:dyDescent="0.2">
      <c r="B190" s="22">
        <v>44067</v>
      </c>
      <c r="C190" s="23">
        <v>28.9375</v>
      </c>
    </row>
    <row r="191" spans="2:3" x14ac:dyDescent="0.2">
      <c r="B191" s="22">
        <v>44064</v>
      </c>
      <c r="C191" s="23">
        <v>29.5625</v>
      </c>
    </row>
    <row r="192" spans="2:3" x14ac:dyDescent="0.2">
      <c r="B192" s="22">
        <v>44063</v>
      </c>
      <c r="C192" s="23">
        <v>29.8125</v>
      </c>
    </row>
    <row r="193" spans="2:3" x14ac:dyDescent="0.2">
      <c r="B193" s="22">
        <v>44062</v>
      </c>
      <c r="C193" s="23">
        <v>29.8125</v>
      </c>
    </row>
    <row r="194" spans="2:3" x14ac:dyDescent="0.2">
      <c r="B194" s="22">
        <v>44061</v>
      </c>
      <c r="C194" s="23">
        <v>29.9375</v>
      </c>
    </row>
    <row r="195" spans="2:3" x14ac:dyDescent="0.2">
      <c r="B195" s="22">
        <v>44057</v>
      </c>
      <c r="C195" s="23">
        <v>29.875</v>
      </c>
    </row>
    <row r="196" spans="2:3" x14ac:dyDescent="0.2">
      <c r="B196" s="22">
        <v>44056</v>
      </c>
      <c r="C196" s="23">
        <v>29.3125</v>
      </c>
    </row>
    <row r="197" spans="2:3" x14ac:dyDescent="0.2">
      <c r="B197" s="22">
        <v>44055</v>
      </c>
      <c r="C197" s="23">
        <v>29.75</v>
      </c>
    </row>
    <row r="198" spans="2:3" x14ac:dyDescent="0.2">
      <c r="B198" s="22">
        <v>44054</v>
      </c>
      <c r="C198" s="23">
        <v>29.6875</v>
      </c>
    </row>
    <row r="199" spans="2:3" x14ac:dyDescent="0.2">
      <c r="B199" s="22">
        <v>44053</v>
      </c>
      <c r="C199" s="23">
        <v>30</v>
      </c>
    </row>
    <row r="200" spans="2:3" x14ac:dyDescent="0.2">
      <c r="B200" s="22">
        <v>44050</v>
      </c>
      <c r="C200" s="23">
        <v>29.625</v>
      </c>
    </row>
    <row r="201" spans="2:3" x14ac:dyDescent="0.2">
      <c r="B201" s="22">
        <v>44049</v>
      </c>
      <c r="C201" s="23">
        <v>29.8125</v>
      </c>
    </row>
    <row r="202" spans="2:3" x14ac:dyDescent="0.2">
      <c r="B202" s="22">
        <v>44048</v>
      </c>
      <c r="C202" s="23">
        <v>29.4375</v>
      </c>
    </row>
    <row r="203" spans="2:3" x14ac:dyDescent="0.2">
      <c r="B203" s="22">
        <v>44047</v>
      </c>
      <c r="C203" s="23">
        <v>29.25</v>
      </c>
    </row>
    <row r="204" spans="2:3" x14ac:dyDescent="0.2">
      <c r="B204" s="22">
        <v>44046</v>
      </c>
      <c r="C204" s="23">
        <v>29.875</v>
      </c>
    </row>
    <row r="205" spans="2:3" x14ac:dyDescent="0.2">
      <c r="B205" s="22">
        <v>44043</v>
      </c>
      <c r="C205" s="23">
        <v>29.1875</v>
      </c>
    </row>
    <row r="206" spans="2:3" x14ac:dyDescent="0.2">
      <c r="B206" s="22">
        <v>44042</v>
      </c>
      <c r="C206" s="23">
        <v>29.1875</v>
      </c>
    </row>
    <row r="207" spans="2:3" x14ac:dyDescent="0.2">
      <c r="B207" s="22">
        <v>44041</v>
      </c>
      <c r="C207" s="23">
        <v>29.1875</v>
      </c>
    </row>
    <row r="208" spans="2:3" x14ac:dyDescent="0.2">
      <c r="B208" s="22">
        <v>44040</v>
      </c>
      <c r="C208" s="23">
        <v>29.1875</v>
      </c>
    </row>
    <row r="209" spans="2:3" x14ac:dyDescent="0.2">
      <c r="B209" s="22">
        <v>44039</v>
      </c>
      <c r="C209" s="23">
        <v>29.375</v>
      </c>
    </row>
    <row r="210" spans="2:3" x14ac:dyDescent="0.2">
      <c r="B210" s="22">
        <v>44036</v>
      </c>
      <c r="C210" s="23">
        <v>29.5625</v>
      </c>
    </row>
    <row r="211" spans="2:3" x14ac:dyDescent="0.2">
      <c r="B211" s="22">
        <v>44035</v>
      </c>
      <c r="C211" s="23">
        <v>29.125</v>
      </c>
    </row>
    <row r="212" spans="2:3" x14ac:dyDescent="0.2">
      <c r="B212" s="22">
        <v>44034</v>
      </c>
      <c r="C212" s="23">
        <v>29.6875</v>
      </c>
    </row>
    <row r="213" spans="2:3" x14ac:dyDescent="0.2">
      <c r="B213" s="22">
        <v>44033</v>
      </c>
      <c r="C213" s="23">
        <v>29.5</v>
      </c>
    </row>
    <row r="214" spans="2:3" x14ac:dyDescent="0.2">
      <c r="B214" s="22">
        <v>44032</v>
      </c>
      <c r="C214" s="23">
        <v>29.4375</v>
      </c>
    </row>
    <row r="215" spans="2:3" x14ac:dyDescent="0.2">
      <c r="B215" s="22">
        <v>44029</v>
      </c>
      <c r="C215" s="23">
        <v>29.5625</v>
      </c>
    </row>
    <row r="216" spans="2:3" x14ac:dyDescent="0.2">
      <c r="B216" s="22">
        <v>44028</v>
      </c>
      <c r="C216" s="23">
        <v>29.5</v>
      </c>
    </row>
    <row r="217" spans="2:3" x14ac:dyDescent="0.2">
      <c r="B217" s="22">
        <v>44027</v>
      </c>
      <c r="C217" s="23">
        <v>29.625</v>
      </c>
    </row>
    <row r="218" spans="2:3" x14ac:dyDescent="0.2">
      <c r="B218" s="22">
        <v>44026</v>
      </c>
      <c r="C218" s="23">
        <v>29.5625</v>
      </c>
    </row>
    <row r="219" spans="2:3" x14ac:dyDescent="0.2">
      <c r="B219" s="22">
        <v>44025</v>
      </c>
      <c r="C219" s="23">
        <v>29.6875</v>
      </c>
    </row>
    <row r="220" spans="2:3" x14ac:dyDescent="0.2">
      <c r="B220" s="22">
        <v>44020</v>
      </c>
      <c r="C220" s="23">
        <v>29.5</v>
      </c>
    </row>
    <row r="221" spans="2:3" x14ac:dyDescent="0.2">
      <c r="B221" s="22">
        <v>44019</v>
      </c>
      <c r="C221" s="23">
        <v>29.75</v>
      </c>
    </row>
    <row r="222" spans="2:3" x14ac:dyDescent="0.2">
      <c r="B222" s="22">
        <v>44018</v>
      </c>
      <c r="C222" s="23">
        <v>29.6875</v>
      </c>
    </row>
    <row r="223" spans="2:3" x14ac:dyDescent="0.2">
      <c r="B223" s="22">
        <v>44015</v>
      </c>
      <c r="C223" s="23">
        <v>29.5625</v>
      </c>
    </row>
    <row r="224" spans="2:3" x14ac:dyDescent="0.2">
      <c r="B224" s="22">
        <v>44014</v>
      </c>
      <c r="C224" s="23">
        <v>29.5625</v>
      </c>
    </row>
    <row r="225" spans="2:3" x14ac:dyDescent="0.2">
      <c r="B225" s="22">
        <v>44013</v>
      </c>
      <c r="C225" s="23">
        <v>29.75</v>
      </c>
    </row>
    <row r="226" spans="2:3" x14ac:dyDescent="0.2">
      <c r="B226" s="22">
        <v>44012</v>
      </c>
      <c r="C226" s="23">
        <v>29.6875</v>
      </c>
    </row>
    <row r="227" spans="2:3" x14ac:dyDescent="0.2">
      <c r="B227" s="22">
        <v>44011</v>
      </c>
      <c r="C227" s="23">
        <v>29</v>
      </c>
    </row>
    <row r="228" spans="2:3" x14ac:dyDescent="0.2">
      <c r="B228" s="22">
        <v>44008</v>
      </c>
      <c r="C228" s="23">
        <v>29.625</v>
      </c>
    </row>
    <row r="229" spans="2:3" x14ac:dyDescent="0.2">
      <c r="B229" s="22">
        <v>44007</v>
      </c>
      <c r="C229" s="23">
        <v>29.8125</v>
      </c>
    </row>
    <row r="230" spans="2:3" x14ac:dyDescent="0.2">
      <c r="B230" s="22">
        <v>44006</v>
      </c>
      <c r="C230" s="23">
        <v>29.75</v>
      </c>
    </row>
    <row r="231" spans="2:3" x14ac:dyDescent="0.2">
      <c r="B231" s="22">
        <v>44005</v>
      </c>
      <c r="C231" s="23">
        <v>29.75</v>
      </c>
    </row>
    <row r="232" spans="2:3" x14ac:dyDescent="0.2">
      <c r="B232" s="22">
        <v>44004</v>
      </c>
      <c r="C232" s="23">
        <v>29.625</v>
      </c>
    </row>
    <row r="233" spans="2:3" x14ac:dyDescent="0.2">
      <c r="B233" s="22">
        <v>44001</v>
      </c>
      <c r="C233" s="23">
        <v>29.8125</v>
      </c>
    </row>
    <row r="234" spans="2:3" x14ac:dyDescent="0.2">
      <c r="B234" s="22">
        <v>44000</v>
      </c>
      <c r="C234" s="23">
        <v>29.4375</v>
      </c>
    </row>
    <row r="235" spans="2:3" x14ac:dyDescent="0.2">
      <c r="B235" s="22">
        <v>43999</v>
      </c>
      <c r="C235" s="23">
        <v>29.8125</v>
      </c>
    </row>
    <row r="236" spans="2:3" x14ac:dyDescent="0.2">
      <c r="B236" s="22">
        <v>43998</v>
      </c>
      <c r="C236" s="23">
        <v>29.75</v>
      </c>
    </row>
    <row r="237" spans="2:3" x14ac:dyDescent="0.2">
      <c r="B237" s="22">
        <v>43994</v>
      </c>
      <c r="C237" s="23">
        <v>29.1875</v>
      </c>
    </row>
    <row r="238" spans="2:3" x14ac:dyDescent="0.2">
      <c r="B238" s="22">
        <v>43993</v>
      </c>
      <c r="C238" s="23">
        <v>29.6875</v>
      </c>
    </row>
    <row r="239" spans="2:3" x14ac:dyDescent="0.2">
      <c r="B239" s="22">
        <v>43992</v>
      </c>
      <c r="C239" s="23">
        <v>29.5</v>
      </c>
    </row>
    <row r="240" spans="2:3" x14ac:dyDescent="0.2">
      <c r="B240" s="22">
        <v>43991</v>
      </c>
      <c r="C240" s="23">
        <v>29.875</v>
      </c>
    </row>
    <row r="241" spans="2:3" x14ac:dyDescent="0.2">
      <c r="B241" s="22">
        <v>43990</v>
      </c>
      <c r="C241" s="23">
        <v>29.5625</v>
      </c>
    </row>
    <row r="242" spans="2:3" x14ac:dyDescent="0.2">
      <c r="B242" s="22">
        <v>43987</v>
      </c>
      <c r="C242" s="23">
        <v>29.5625</v>
      </c>
    </row>
    <row r="243" spans="2:3" x14ac:dyDescent="0.2">
      <c r="B243" s="22">
        <v>43986</v>
      </c>
      <c r="C243" s="23">
        <v>29.75</v>
      </c>
    </row>
    <row r="244" spans="2:3" x14ac:dyDescent="0.2">
      <c r="B244" s="22">
        <v>43985</v>
      </c>
      <c r="C244" s="23">
        <v>29.5625</v>
      </c>
    </row>
    <row r="245" spans="2:3" x14ac:dyDescent="0.2">
      <c r="B245" s="22">
        <v>43984</v>
      </c>
      <c r="C245" s="23">
        <v>29</v>
      </c>
    </row>
    <row r="246" spans="2:3" x14ac:dyDescent="0.2">
      <c r="B246" s="22">
        <v>43983</v>
      </c>
      <c r="C246" s="23">
        <v>28.5</v>
      </c>
    </row>
    <row r="247" spans="2:3" x14ac:dyDescent="0.2">
      <c r="B247" s="22">
        <v>43980</v>
      </c>
      <c r="C247" s="23">
        <v>26.5625</v>
      </c>
    </row>
    <row r="248" spans="2:3" x14ac:dyDescent="0.2">
      <c r="B248" s="22">
        <v>43979</v>
      </c>
      <c r="C248" s="23">
        <v>26.5</v>
      </c>
    </row>
    <row r="249" spans="2:3" x14ac:dyDescent="0.2">
      <c r="B249" s="22">
        <v>43978</v>
      </c>
      <c r="C249" s="23">
        <v>26.4375</v>
      </c>
    </row>
    <row r="250" spans="2:3" x14ac:dyDescent="0.2">
      <c r="B250" s="22">
        <v>43977</v>
      </c>
      <c r="C250" s="23">
        <v>25.6875</v>
      </c>
    </row>
    <row r="251" spans="2:3" x14ac:dyDescent="0.2">
      <c r="B251" s="22">
        <v>43973</v>
      </c>
      <c r="C251" s="23">
        <v>26.1875</v>
      </c>
    </row>
    <row r="252" spans="2:3" x14ac:dyDescent="0.2">
      <c r="B252" s="22">
        <v>43972</v>
      </c>
      <c r="C252" s="23">
        <v>26.5</v>
      </c>
    </row>
    <row r="253" spans="2:3" x14ac:dyDescent="0.2">
      <c r="B253" s="22">
        <v>43971</v>
      </c>
      <c r="C253" s="23">
        <v>26.5</v>
      </c>
    </row>
    <row r="254" spans="2:3" x14ac:dyDescent="0.2">
      <c r="B254" s="22">
        <v>43970</v>
      </c>
      <c r="C254" s="23">
        <v>26.25</v>
      </c>
    </row>
    <row r="255" spans="2:3" x14ac:dyDescent="0.2">
      <c r="B255" s="22">
        <v>43969</v>
      </c>
      <c r="C255" s="23">
        <v>26.4375</v>
      </c>
    </row>
    <row r="256" spans="2:3" x14ac:dyDescent="0.2">
      <c r="B256" s="22">
        <v>43966</v>
      </c>
      <c r="C256" s="23">
        <v>22.625</v>
      </c>
    </row>
    <row r="257" spans="2:3" x14ac:dyDescent="0.2">
      <c r="B257" s="22">
        <v>43965</v>
      </c>
      <c r="C257" s="23">
        <v>20.75</v>
      </c>
    </row>
    <row r="258" spans="2:3" x14ac:dyDescent="0.2">
      <c r="B258" s="22">
        <v>43964</v>
      </c>
      <c r="C258" s="23">
        <v>21.8125</v>
      </c>
    </row>
    <row r="259" spans="2:3" x14ac:dyDescent="0.2">
      <c r="B259" s="22">
        <v>43963</v>
      </c>
      <c r="C259" s="23">
        <v>20.5625</v>
      </c>
    </row>
    <row r="260" spans="2:3" x14ac:dyDescent="0.2">
      <c r="B260" s="22">
        <v>43962</v>
      </c>
      <c r="C260" s="23">
        <v>21.0625</v>
      </c>
    </row>
    <row r="261" spans="2:3" x14ac:dyDescent="0.2">
      <c r="B261" s="22">
        <v>43959</v>
      </c>
      <c r="C261" s="23">
        <v>20.625</v>
      </c>
    </row>
    <row r="262" spans="2:3" x14ac:dyDescent="0.2">
      <c r="B262" s="22">
        <v>43958</v>
      </c>
      <c r="C262" s="23">
        <v>19.8125</v>
      </c>
    </row>
    <row r="263" spans="2:3" x14ac:dyDescent="0.2">
      <c r="B263" s="22">
        <v>43957</v>
      </c>
      <c r="C263" s="23">
        <v>20.0625</v>
      </c>
    </row>
    <row r="264" spans="2:3" x14ac:dyDescent="0.2">
      <c r="B264" s="22">
        <v>43956</v>
      </c>
      <c r="C264" s="23">
        <v>19.875</v>
      </c>
    </row>
    <row r="265" spans="2:3" x14ac:dyDescent="0.2">
      <c r="B265" s="22">
        <v>43955</v>
      </c>
      <c r="C265" s="23">
        <v>21.0625</v>
      </c>
    </row>
    <row r="266" spans="2:3" x14ac:dyDescent="0.2">
      <c r="B266" s="22">
        <v>43951</v>
      </c>
      <c r="C266" s="23">
        <v>18.4375</v>
      </c>
    </row>
    <row r="267" spans="2:3" x14ac:dyDescent="0.2">
      <c r="B267" s="22">
        <v>43950</v>
      </c>
      <c r="C267" s="23">
        <v>18.3125</v>
      </c>
    </row>
    <row r="268" spans="2:3" x14ac:dyDescent="0.2">
      <c r="B268" s="22">
        <v>43949</v>
      </c>
      <c r="C268" s="23">
        <v>18.375</v>
      </c>
    </row>
    <row r="269" spans="2:3" x14ac:dyDescent="0.2">
      <c r="B269" s="22">
        <v>43948</v>
      </c>
      <c r="C269" s="23">
        <v>18.3125</v>
      </c>
    </row>
    <row r="270" spans="2:3" x14ac:dyDescent="0.2">
      <c r="B270" s="22">
        <v>43945</v>
      </c>
      <c r="C270" s="23">
        <v>18.3125</v>
      </c>
    </row>
    <row r="271" spans="2:3" x14ac:dyDescent="0.2">
      <c r="B271" s="22">
        <v>43944</v>
      </c>
      <c r="C271" s="23">
        <v>15.9375</v>
      </c>
    </row>
    <row r="272" spans="2:3" x14ac:dyDescent="0.2">
      <c r="B272" s="22">
        <v>43943</v>
      </c>
      <c r="C272" s="23">
        <v>16.1875</v>
      </c>
    </row>
    <row r="273" spans="2:3" x14ac:dyDescent="0.2">
      <c r="B273" s="22">
        <v>43942</v>
      </c>
      <c r="C273" s="23">
        <v>17.4375</v>
      </c>
    </row>
    <row r="274" spans="2:3" x14ac:dyDescent="0.2">
      <c r="B274" s="22">
        <v>43941</v>
      </c>
      <c r="C274" s="23">
        <v>18.25</v>
      </c>
    </row>
    <row r="275" spans="2:3" x14ac:dyDescent="0.2">
      <c r="B275" s="22">
        <v>43938</v>
      </c>
      <c r="C275" s="23">
        <v>16.875</v>
      </c>
    </row>
    <row r="276" spans="2:3" x14ac:dyDescent="0.2">
      <c r="B276" s="22">
        <v>43937</v>
      </c>
      <c r="C276" s="23">
        <v>16.875</v>
      </c>
    </row>
    <row r="277" spans="2:3" x14ac:dyDescent="0.2">
      <c r="B277" s="22">
        <v>43936</v>
      </c>
      <c r="C277" s="23">
        <v>18.25</v>
      </c>
    </row>
    <row r="278" spans="2:3" x14ac:dyDescent="0.2">
      <c r="B278" s="22">
        <v>43935</v>
      </c>
      <c r="C278" s="23">
        <v>18.125</v>
      </c>
    </row>
    <row r="279" spans="2:3" x14ac:dyDescent="0.2">
      <c r="B279" s="22">
        <v>43934</v>
      </c>
      <c r="C279" s="23">
        <v>21</v>
      </c>
    </row>
    <row r="280" spans="2:3" x14ac:dyDescent="0.2">
      <c r="B280" s="22">
        <v>43929</v>
      </c>
      <c r="C280" s="23">
        <v>21.9375</v>
      </c>
    </row>
    <row r="281" spans="2:3" x14ac:dyDescent="0.2">
      <c r="B281" s="22">
        <v>43928</v>
      </c>
      <c r="C281" s="23">
        <v>23.0625</v>
      </c>
    </row>
    <row r="282" spans="2:3" x14ac:dyDescent="0.2">
      <c r="B282" s="22">
        <v>43927</v>
      </c>
      <c r="C282" s="23">
        <v>25.125</v>
      </c>
    </row>
    <row r="283" spans="2:3" x14ac:dyDescent="0.2">
      <c r="B283" s="22">
        <v>43924</v>
      </c>
      <c r="C283" s="23">
        <v>25.75</v>
      </c>
    </row>
    <row r="284" spans="2:3" x14ac:dyDescent="0.2">
      <c r="B284" s="22">
        <v>43923</v>
      </c>
      <c r="C284" s="23">
        <v>26.125</v>
      </c>
    </row>
    <row r="285" spans="2:3" x14ac:dyDescent="0.2">
      <c r="B285" s="22">
        <v>43922</v>
      </c>
      <c r="C285" s="23">
        <v>27</v>
      </c>
    </row>
    <row r="286" spans="2:3" x14ac:dyDescent="0.2">
      <c r="B286" s="22">
        <v>43920</v>
      </c>
      <c r="C286" s="23">
        <v>27.5625</v>
      </c>
    </row>
    <row r="287" spans="2:3" x14ac:dyDescent="0.2">
      <c r="B287" s="22">
        <v>43917</v>
      </c>
      <c r="C287" s="23">
        <v>27.75</v>
      </c>
    </row>
    <row r="288" spans="2:3" x14ac:dyDescent="0.2">
      <c r="B288" s="22">
        <v>43916</v>
      </c>
      <c r="C288" s="23">
        <v>29.375</v>
      </c>
    </row>
    <row r="289" spans="2:3" x14ac:dyDescent="0.2">
      <c r="B289" s="22">
        <v>43915</v>
      </c>
      <c r="C289" s="23">
        <v>29.3125</v>
      </c>
    </row>
    <row r="290" spans="2:3" x14ac:dyDescent="0.2">
      <c r="B290" s="22">
        <v>43910</v>
      </c>
      <c r="C290" s="23">
        <v>29</v>
      </c>
    </row>
    <row r="291" spans="2:3" x14ac:dyDescent="0.2">
      <c r="B291" s="22">
        <v>43909</v>
      </c>
      <c r="C291" s="23">
        <v>29.3125</v>
      </c>
    </row>
    <row r="292" spans="2:3" x14ac:dyDescent="0.2">
      <c r="B292" s="22">
        <v>43908</v>
      </c>
      <c r="C292" s="23">
        <v>29.5</v>
      </c>
    </row>
    <row r="293" spans="2:3" x14ac:dyDescent="0.2">
      <c r="B293" s="22">
        <v>43907</v>
      </c>
      <c r="C293" s="23">
        <v>29.5</v>
      </c>
    </row>
    <row r="294" spans="2:3" x14ac:dyDescent="0.2">
      <c r="B294" s="22">
        <v>43906</v>
      </c>
      <c r="C294" s="23">
        <v>29.5</v>
      </c>
    </row>
    <row r="295" spans="2:3" x14ac:dyDescent="0.2">
      <c r="B295" s="22">
        <v>43903</v>
      </c>
      <c r="C295" s="23">
        <v>29.3125</v>
      </c>
    </row>
    <row r="296" spans="2:3" x14ac:dyDescent="0.2">
      <c r="B296" s="22">
        <v>43902</v>
      </c>
      <c r="C296" s="23">
        <v>29.5</v>
      </c>
    </row>
    <row r="297" spans="2:3" x14ac:dyDescent="0.2">
      <c r="B297" s="22">
        <v>43901</v>
      </c>
      <c r="C297" s="23">
        <v>29.8125</v>
      </c>
    </row>
    <row r="298" spans="2:3" x14ac:dyDescent="0.2">
      <c r="B298" s="22">
        <v>43900</v>
      </c>
      <c r="C298" s="23">
        <v>29.75</v>
      </c>
    </row>
    <row r="299" spans="2:3" x14ac:dyDescent="0.2">
      <c r="B299" s="22">
        <v>43899</v>
      </c>
      <c r="C299" s="23">
        <v>29.5625</v>
      </c>
    </row>
    <row r="300" spans="2:3" x14ac:dyDescent="0.2">
      <c r="B300" s="22">
        <v>43896</v>
      </c>
      <c r="C300" s="23">
        <v>29.875</v>
      </c>
    </row>
    <row r="301" spans="2:3" x14ac:dyDescent="0.2">
      <c r="B301" s="22">
        <v>43895</v>
      </c>
      <c r="C301" s="23">
        <v>30.4375</v>
      </c>
    </row>
    <row r="302" spans="2:3" x14ac:dyDescent="0.2">
      <c r="B302" s="22">
        <v>43894</v>
      </c>
      <c r="C302" s="23">
        <v>30.5</v>
      </c>
    </row>
    <row r="303" spans="2:3" x14ac:dyDescent="0.2">
      <c r="B303" s="22">
        <v>43893</v>
      </c>
      <c r="C303" s="23">
        <v>31.1875</v>
      </c>
    </row>
    <row r="304" spans="2:3" x14ac:dyDescent="0.2">
      <c r="B304" s="22">
        <v>43892</v>
      </c>
      <c r="C304" s="23">
        <v>31</v>
      </c>
    </row>
    <row r="305" spans="2:3" x14ac:dyDescent="0.2">
      <c r="B305" s="22">
        <v>43889</v>
      </c>
      <c r="C305" s="23">
        <v>31.8125</v>
      </c>
    </row>
    <row r="306" spans="2:3" x14ac:dyDescent="0.2">
      <c r="B306" s="22">
        <v>43888</v>
      </c>
      <c r="C306" s="23">
        <v>31.0625</v>
      </c>
    </row>
    <row r="307" spans="2:3" x14ac:dyDescent="0.2">
      <c r="B307" s="22">
        <v>43887</v>
      </c>
      <c r="C307" s="23">
        <v>31.125</v>
      </c>
    </row>
    <row r="308" spans="2:3" x14ac:dyDescent="0.2">
      <c r="B308" s="22">
        <v>43882</v>
      </c>
      <c r="C308" s="23">
        <v>31.875</v>
      </c>
    </row>
    <row r="309" spans="2:3" x14ac:dyDescent="0.2">
      <c r="B309" s="22">
        <v>43881</v>
      </c>
      <c r="C309" s="23">
        <v>33</v>
      </c>
    </row>
    <row r="310" spans="2:3" x14ac:dyDescent="0.2">
      <c r="B310" s="22">
        <v>43880</v>
      </c>
      <c r="C310" s="23">
        <v>33.4375</v>
      </c>
    </row>
    <row r="311" spans="2:3" x14ac:dyDescent="0.2">
      <c r="B311" s="22">
        <v>43879</v>
      </c>
      <c r="C311" s="23">
        <v>32.875</v>
      </c>
    </row>
    <row r="312" spans="2:3" x14ac:dyDescent="0.2">
      <c r="B312" s="22">
        <v>43878</v>
      </c>
      <c r="C312" s="23">
        <v>33.9375</v>
      </c>
    </row>
    <row r="313" spans="2:3" x14ac:dyDescent="0.2">
      <c r="B313" s="22">
        <v>43875</v>
      </c>
      <c r="C313" s="23">
        <v>34.0625</v>
      </c>
    </row>
    <row r="314" spans="2:3" x14ac:dyDescent="0.2">
      <c r="B314" s="22">
        <v>43874</v>
      </c>
      <c r="C314" s="23">
        <v>35.25</v>
      </c>
    </row>
    <row r="315" spans="2:3" x14ac:dyDescent="0.2">
      <c r="B315" s="22">
        <v>43873</v>
      </c>
      <c r="C315" s="23">
        <v>34.375</v>
      </c>
    </row>
    <row r="316" spans="2:3" x14ac:dyDescent="0.2">
      <c r="B316" s="22">
        <v>43872</v>
      </c>
      <c r="C316" s="23">
        <v>35.1875</v>
      </c>
    </row>
    <row r="317" spans="2:3" x14ac:dyDescent="0.2">
      <c r="B317" s="22">
        <v>43871</v>
      </c>
      <c r="C317" s="23">
        <v>34.5</v>
      </c>
    </row>
    <row r="318" spans="2:3" x14ac:dyDescent="0.2">
      <c r="B318" s="22">
        <v>43868</v>
      </c>
      <c r="C318" s="23">
        <v>34.125</v>
      </c>
    </row>
    <row r="319" spans="2:3" x14ac:dyDescent="0.2">
      <c r="B319" s="22">
        <v>43867</v>
      </c>
      <c r="C319" s="23">
        <v>34.6875</v>
      </c>
    </row>
    <row r="320" spans="2:3" x14ac:dyDescent="0.2">
      <c r="B320" s="22">
        <v>43866</v>
      </c>
      <c r="C320" s="23">
        <v>34.25</v>
      </c>
    </row>
    <row r="321" spans="2:3" x14ac:dyDescent="0.2">
      <c r="B321" s="22">
        <v>43865</v>
      </c>
      <c r="C321" s="23">
        <v>34.6875</v>
      </c>
    </row>
    <row r="322" spans="2:3" x14ac:dyDescent="0.2">
      <c r="B322" s="22">
        <v>43864</v>
      </c>
      <c r="C322" s="23">
        <v>34.3125</v>
      </c>
    </row>
    <row r="323" spans="2:3" x14ac:dyDescent="0.2">
      <c r="B323" s="22">
        <v>43861</v>
      </c>
      <c r="C323" s="23">
        <v>34</v>
      </c>
    </row>
    <row r="324" spans="2:3" x14ac:dyDescent="0.2">
      <c r="B324" s="22">
        <v>43860</v>
      </c>
      <c r="C324" s="23">
        <v>34.3125</v>
      </c>
    </row>
    <row r="325" spans="2:3" x14ac:dyDescent="0.2">
      <c r="B325" s="22">
        <v>43859</v>
      </c>
      <c r="C325" s="23">
        <v>34.3125</v>
      </c>
    </row>
    <row r="326" spans="2:3" x14ac:dyDescent="0.2">
      <c r="B326" s="22">
        <v>43858</v>
      </c>
      <c r="C326" s="23">
        <v>34.5</v>
      </c>
    </row>
    <row r="327" spans="2:3" x14ac:dyDescent="0.2">
      <c r="B327" s="22">
        <v>43857</v>
      </c>
      <c r="C327" s="23">
        <v>34.3125</v>
      </c>
    </row>
    <row r="328" spans="2:3" x14ac:dyDescent="0.2">
      <c r="B328" s="22">
        <v>43854</v>
      </c>
      <c r="C328" s="23">
        <v>34.875</v>
      </c>
    </row>
    <row r="329" spans="2:3" x14ac:dyDescent="0.2">
      <c r="B329" s="22">
        <v>43853</v>
      </c>
      <c r="C329" s="23">
        <v>34.5625</v>
      </c>
    </row>
    <row r="330" spans="2:3" x14ac:dyDescent="0.2">
      <c r="B330" s="22">
        <v>43852</v>
      </c>
      <c r="C330" s="23">
        <v>34.9375</v>
      </c>
    </row>
    <row r="331" spans="2:3" x14ac:dyDescent="0.2">
      <c r="B331" s="22">
        <v>43851</v>
      </c>
      <c r="C331" s="23">
        <v>34.9375</v>
      </c>
    </row>
    <row r="332" spans="2:3" x14ac:dyDescent="0.2">
      <c r="B332" s="22">
        <v>43850</v>
      </c>
      <c r="C332" s="23">
        <v>35.375</v>
      </c>
    </row>
    <row r="333" spans="2:3" x14ac:dyDescent="0.2">
      <c r="B333" s="22">
        <v>43847</v>
      </c>
      <c r="C333" s="23">
        <v>35.375</v>
      </c>
    </row>
    <row r="334" spans="2:3" x14ac:dyDescent="0.2">
      <c r="B334" s="22">
        <v>43846</v>
      </c>
      <c r="C334" s="23">
        <v>36.125</v>
      </c>
    </row>
    <row r="335" spans="2:3" x14ac:dyDescent="0.2">
      <c r="B335" s="22">
        <v>43845</v>
      </c>
      <c r="C335" s="23">
        <v>36.3125</v>
      </c>
    </row>
    <row r="336" spans="2:3" x14ac:dyDescent="0.2">
      <c r="B336" s="22">
        <v>43844</v>
      </c>
      <c r="C336" s="23">
        <v>36.5</v>
      </c>
    </row>
    <row r="337" spans="2:3" x14ac:dyDescent="0.2">
      <c r="B337" s="22">
        <v>43843</v>
      </c>
      <c r="C337" s="23">
        <v>37.125</v>
      </c>
    </row>
    <row r="338" spans="2:3" x14ac:dyDescent="0.2">
      <c r="B338" s="22">
        <v>43840</v>
      </c>
      <c r="C338" s="23">
        <v>37.5625</v>
      </c>
    </row>
    <row r="339" spans="2:3" x14ac:dyDescent="0.2">
      <c r="B339" s="22">
        <v>43839</v>
      </c>
      <c r="C339" s="23">
        <v>38</v>
      </c>
    </row>
    <row r="340" spans="2:3" x14ac:dyDescent="0.2">
      <c r="B340" s="22">
        <v>43838</v>
      </c>
      <c r="C340" s="23">
        <v>37.5625</v>
      </c>
    </row>
    <row r="341" spans="2:3" x14ac:dyDescent="0.2">
      <c r="B341" s="22">
        <v>43837</v>
      </c>
      <c r="C341" s="23">
        <v>38.25</v>
      </c>
    </row>
    <row r="342" spans="2:3" x14ac:dyDescent="0.2">
      <c r="B342" s="22">
        <v>43836</v>
      </c>
      <c r="C342" s="23">
        <v>38.75</v>
      </c>
    </row>
    <row r="343" spans="2:3" x14ac:dyDescent="0.2">
      <c r="B343" s="22">
        <v>43833</v>
      </c>
      <c r="C343" s="23">
        <v>38.75</v>
      </c>
    </row>
    <row r="344" spans="2:3" x14ac:dyDescent="0.2">
      <c r="B344" s="22">
        <v>43832</v>
      </c>
      <c r="C344" s="23">
        <v>38.875</v>
      </c>
    </row>
    <row r="345" spans="2:3" x14ac:dyDescent="0.2">
      <c r="B345" s="22">
        <v>43669</v>
      </c>
      <c r="C345" s="23">
        <v>50.25</v>
      </c>
    </row>
    <row r="346" spans="2:3" x14ac:dyDescent="0.2">
      <c r="B346" s="22">
        <v>43668</v>
      </c>
      <c r="C346" s="23">
        <v>47.9375</v>
      </c>
    </row>
    <row r="347" spans="2:3" x14ac:dyDescent="0.2">
      <c r="B347" s="22">
        <v>43665</v>
      </c>
      <c r="C347" s="23">
        <v>48.25</v>
      </c>
    </row>
    <row r="348" spans="2:3" x14ac:dyDescent="0.2">
      <c r="B348" s="22">
        <v>43664</v>
      </c>
      <c r="C348" s="23">
        <v>47.8125</v>
      </c>
    </row>
    <row r="349" spans="2:3" x14ac:dyDescent="0.2">
      <c r="B349" s="22">
        <v>43663</v>
      </c>
      <c r="C349" s="23">
        <v>48.0625</v>
      </c>
    </row>
    <row r="350" spans="2:3" x14ac:dyDescent="0.2">
      <c r="B350" s="22">
        <v>43662</v>
      </c>
      <c r="C350" s="23">
        <v>47.625</v>
      </c>
    </row>
    <row r="351" spans="2:3" x14ac:dyDescent="0.2">
      <c r="B351" s="22">
        <v>43661</v>
      </c>
      <c r="C351" s="23">
        <v>48.125</v>
      </c>
    </row>
    <row r="352" spans="2:3" x14ac:dyDescent="0.2">
      <c r="B352" s="22">
        <v>43658</v>
      </c>
      <c r="C352" s="23">
        <v>47.5625</v>
      </c>
    </row>
    <row r="353" spans="2:3" x14ac:dyDescent="0.2">
      <c r="B353" s="22">
        <v>43657</v>
      </c>
      <c r="C353" s="23">
        <v>48.5</v>
      </c>
    </row>
    <row r="354" spans="2:3" x14ac:dyDescent="0.2">
      <c r="B354" s="22">
        <v>43656</v>
      </c>
      <c r="C354" s="23">
        <v>47.8125</v>
      </c>
    </row>
    <row r="355" spans="2:3" x14ac:dyDescent="0.2">
      <c r="B355" s="22">
        <v>43651</v>
      </c>
      <c r="C355" s="23">
        <v>48.0625</v>
      </c>
    </row>
    <row r="356" spans="2:3" x14ac:dyDescent="0.2">
      <c r="B356" s="22">
        <v>43650</v>
      </c>
      <c r="C356" s="23">
        <v>48.4375</v>
      </c>
    </row>
    <row r="357" spans="2:3" x14ac:dyDescent="0.2">
      <c r="B357" s="22">
        <v>43649</v>
      </c>
      <c r="C357" s="23">
        <v>48.4375</v>
      </c>
    </row>
    <row r="358" spans="2:3" x14ac:dyDescent="0.2">
      <c r="B358" s="22">
        <v>43648</v>
      </c>
      <c r="C358" s="23">
        <v>48</v>
      </c>
    </row>
    <row r="359" spans="2:3" x14ac:dyDescent="0.2">
      <c r="B359" s="22">
        <v>43647</v>
      </c>
      <c r="C359" s="23">
        <v>47.6875</v>
      </c>
    </row>
    <row r="360" spans="2:3" x14ac:dyDescent="0.2">
      <c r="B360" s="22">
        <v>43644</v>
      </c>
      <c r="C360" s="23">
        <v>47.5</v>
      </c>
    </row>
    <row r="361" spans="2:3" x14ac:dyDescent="0.2">
      <c r="B361" s="22">
        <v>43643</v>
      </c>
      <c r="C361" s="23">
        <v>47.6875</v>
      </c>
    </row>
    <row r="362" spans="2:3" x14ac:dyDescent="0.2">
      <c r="B362" s="22">
        <v>43642</v>
      </c>
      <c r="C362" s="23">
        <v>48.1875</v>
      </c>
    </row>
    <row r="363" spans="2:3" x14ac:dyDescent="0.2">
      <c r="B363" s="22">
        <v>43641</v>
      </c>
      <c r="C363" s="23">
        <v>48.3125</v>
      </c>
    </row>
    <row r="364" spans="2:3" x14ac:dyDescent="0.2">
      <c r="B364" s="22">
        <v>43640</v>
      </c>
      <c r="C364" s="23">
        <v>49.75</v>
      </c>
    </row>
    <row r="365" spans="2:3" x14ac:dyDescent="0.2">
      <c r="B365" s="22">
        <v>43637</v>
      </c>
      <c r="C365" s="23">
        <v>49.9375</v>
      </c>
    </row>
    <row r="366" spans="2:3" x14ac:dyDescent="0.2">
      <c r="B366" s="22">
        <v>43635</v>
      </c>
      <c r="C366" s="23">
        <v>50.75</v>
      </c>
    </row>
    <row r="367" spans="2:3" x14ac:dyDescent="0.2">
      <c r="B367" s="22">
        <v>43634</v>
      </c>
      <c r="C367" s="23">
        <v>50.8125</v>
      </c>
    </row>
    <row r="368" spans="2:3" x14ac:dyDescent="0.2">
      <c r="B368" s="22">
        <v>43630</v>
      </c>
      <c r="C368" s="23">
        <v>51.0625</v>
      </c>
    </row>
    <row r="369" spans="2:3" x14ac:dyDescent="0.2">
      <c r="B369" s="22">
        <v>43629</v>
      </c>
      <c r="C369" s="23">
        <v>51.3125</v>
      </c>
    </row>
    <row r="370" spans="2:3" x14ac:dyDescent="0.2">
      <c r="B370" s="22">
        <v>43628</v>
      </c>
      <c r="C370" s="23">
        <v>51.8125</v>
      </c>
    </row>
    <row r="371" spans="2:3" x14ac:dyDescent="0.2">
      <c r="B371" s="22">
        <v>43627</v>
      </c>
      <c r="C371" s="23">
        <v>52.3125</v>
      </c>
    </row>
    <row r="372" spans="2:3" x14ac:dyDescent="0.2">
      <c r="B372" s="22">
        <v>43626</v>
      </c>
      <c r="C372" s="23">
        <v>52.125</v>
      </c>
    </row>
    <row r="373" spans="2:3" x14ac:dyDescent="0.2">
      <c r="B373" s="22">
        <v>43623</v>
      </c>
      <c r="C373" s="23">
        <v>52.6875</v>
      </c>
    </row>
    <row r="374" spans="2:3" x14ac:dyDescent="0.2">
      <c r="B374" s="22">
        <v>43622</v>
      </c>
      <c r="C374" s="23">
        <v>52.9375</v>
      </c>
    </row>
    <row r="375" spans="2:3" x14ac:dyDescent="0.2">
      <c r="B375" s="22">
        <v>43621</v>
      </c>
      <c r="C375" s="23">
        <v>52.6875</v>
      </c>
    </row>
    <row r="376" spans="2:3" x14ac:dyDescent="0.2">
      <c r="B376" s="22">
        <v>43620</v>
      </c>
      <c r="C376" s="23">
        <v>53.3125</v>
      </c>
    </row>
    <row r="377" spans="2:3" x14ac:dyDescent="0.2">
      <c r="B377" s="22">
        <v>43619</v>
      </c>
      <c r="C377" s="23">
        <v>52.9375</v>
      </c>
    </row>
    <row r="378" spans="2:3" x14ac:dyDescent="0.2">
      <c r="B378" s="22">
        <v>43616</v>
      </c>
      <c r="C378" s="23">
        <v>53</v>
      </c>
    </row>
    <row r="379" spans="2:3" x14ac:dyDescent="0.2">
      <c r="B379" s="22">
        <v>43615</v>
      </c>
      <c r="C379" s="23">
        <v>52.6875</v>
      </c>
    </row>
    <row r="380" spans="2:3" x14ac:dyDescent="0.2">
      <c r="B380" s="22">
        <v>43614</v>
      </c>
      <c r="C380" s="23">
        <v>52.8125</v>
      </c>
    </row>
    <row r="381" spans="2:3" x14ac:dyDescent="0.2">
      <c r="B381" s="22">
        <v>43613</v>
      </c>
      <c r="C381" s="23">
        <v>52.625</v>
      </c>
    </row>
    <row r="382" spans="2:3" x14ac:dyDescent="0.2">
      <c r="B382" s="22">
        <v>43612</v>
      </c>
      <c r="C382" s="23">
        <v>52.625</v>
      </c>
    </row>
    <row r="383" spans="2:3" x14ac:dyDescent="0.2">
      <c r="B383" s="22">
        <v>43609</v>
      </c>
      <c r="C383" s="23">
        <v>53</v>
      </c>
    </row>
    <row r="384" spans="2:3" x14ac:dyDescent="0.2">
      <c r="B384" s="22">
        <v>43608</v>
      </c>
      <c r="C384" s="23">
        <v>53.4375</v>
      </c>
    </row>
    <row r="385" spans="2:3" x14ac:dyDescent="0.2">
      <c r="B385" s="22">
        <v>43607</v>
      </c>
      <c r="C385" s="23">
        <v>52.3125</v>
      </c>
    </row>
    <row r="386" spans="2:3" x14ac:dyDescent="0.2">
      <c r="B386" s="22">
        <v>43606</v>
      </c>
      <c r="C386" s="23">
        <v>53.6875</v>
      </c>
    </row>
    <row r="387" spans="2:3" x14ac:dyDescent="0.2">
      <c r="B387" s="22">
        <v>43605</v>
      </c>
      <c r="C387" s="23">
        <v>53.6875</v>
      </c>
    </row>
    <row r="388" spans="2:3" x14ac:dyDescent="0.2">
      <c r="B388" s="22">
        <v>43602</v>
      </c>
      <c r="C388" s="23">
        <v>51.9375</v>
      </c>
    </row>
    <row r="389" spans="2:3" x14ac:dyDescent="0.2">
      <c r="B389" s="22">
        <v>43601</v>
      </c>
      <c r="C389" s="23">
        <v>52.1875</v>
      </c>
    </row>
    <row r="390" spans="2:3" x14ac:dyDescent="0.2">
      <c r="B390" s="22">
        <v>43600</v>
      </c>
      <c r="C390" s="23">
        <v>52.625</v>
      </c>
    </row>
    <row r="391" spans="2:3" x14ac:dyDescent="0.2">
      <c r="B391" s="22">
        <v>43599</v>
      </c>
      <c r="C391" s="23">
        <v>53.5625</v>
      </c>
    </row>
    <row r="392" spans="2:3" x14ac:dyDescent="0.2">
      <c r="B392" s="22">
        <v>43598</v>
      </c>
      <c r="C392" s="23">
        <v>52.5625</v>
      </c>
    </row>
    <row r="393" spans="2:3" x14ac:dyDescent="0.2">
      <c r="B393" s="22">
        <v>43595</v>
      </c>
      <c r="C393" s="23">
        <v>51.875</v>
      </c>
    </row>
    <row r="394" spans="2:3" x14ac:dyDescent="0.2">
      <c r="B394" s="22">
        <v>43594</v>
      </c>
      <c r="C394" s="23">
        <v>52.5</v>
      </c>
    </row>
    <row r="395" spans="2:3" x14ac:dyDescent="0.2">
      <c r="B395" s="22">
        <v>43593</v>
      </c>
      <c r="C395" s="23">
        <v>52</v>
      </c>
    </row>
    <row r="396" spans="2:3" x14ac:dyDescent="0.2">
      <c r="B396" s="22">
        <v>43592</v>
      </c>
      <c r="C396" s="23">
        <v>53.3125</v>
      </c>
    </row>
    <row r="397" spans="2:3" x14ac:dyDescent="0.2">
      <c r="B397" s="22">
        <v>43591</v>
      </c>
      <c r="C397" s="23">
        <v>52</v>
      </c>
    </row>
    <row r="398" spans="2:3" x14ac:dyDescent="0.2">
      <c r="B398" s="22">
        <v>43588</v>
      </c>
      <c r="C398" s="23">
        <v>52.125</v>
      </c>
    </row>
    <row r="399" spans="2:3" x14ac:dyDescent="0.2">
      <c r="B399" s="22">
        <v>43587</v>
      </c>
      <c r="C399" s="23">
        <v>50.375</v>
      </c>
    </row>
    <row r="400" spans="2:3" x14ac:dyDescent="0.2">
      <c r="B400" s="22">
        <v>43585</v>
      </c>
      <c r="C400" s="23">
        <v>53.375</v>
      </c>
    </row>
    <row r="401" spans="2:3" x14ac:dyDescent="0.2">
      <c r="B401" s="22">
        <v>43584</v>
      </c>
      <c r="C401" s="23">
        <v>50</v>
      </c>
    </row>
    <row r="402" spans="2:3" x14ac:dyDescent="0.2">
      <c r="B402" s="22">
        <v>43581</v>
      </c>
      <c r="C402" s="23">
        <v>49.25</v>
      </c>
    </row>
    <row r="403" spans="2:3" x14ac:dyDescent="0.2">
      <c r="B403" s="22">
        <v>43580</v>
      </c>
      <c r="C403" s="23">
        <v>49.3125</v>
      </c>
    </row>
    <row r="404" spans="2:3" x14ac:dyDescent="0.2">
      <c r="B404" s="22">
        <v>43579</v>
      </c>
      <c r="C404" s="23">
        <v>48.625</v>
      </c>
    </row>
    <row r="405" spans="2:3" x14ac:dyDescent="0.2">
      <c r="B405" s="22">
        <v>43578</v>
      </c>
      <c r="C405" s="23">
        <v>49.5625</v>
      </c>
    </row>
    <row r="406" spans="2:3" x14ac:dyDescent="0.2">
      <c r="B406" s="22">
        <v>43577</v>
      </c>
      <c r="C406" s="23">
        <v>48.125</v>
      </c>
    </row>
    <row r="407" spans="2:3" x14ac:dyDescent="0.2">
      <c r="B407" s="22">
        <v>43572</v>
      </c>
      <c r="C407" s="23">
        <v>48.125</v>
      </c>
    </row>
    <row r="408" spans="2:3" x14ac:dyDescent="0.2">
      <c r="B408" s="22">
        <v>43571</v>
      </c>
      <c r="C408" s="23">
        <v>49.125</v>
      </c>
    </row>
    <row r="409" spans="2:3" x14ac:dyDescent="0.2">
      <c r="B409" s="22">
        <v>43570</v>
      </c>
      <c r="C409" s="23">
        <v>48.3125</v>
      </c>
    </row>
    <row r="410" spans="2:3" x14ac:dyDescent="0.2">
      <c r="B410" s="22">
        <v>43567</v>
      </c>
      <c r="C410" s="23">
        <v>48.125</v>
      </c>
    </row>
    <row r="411" spans="2:3" x14ac:dyDescent="0.2">
      <c r="B411" s="22">
        <v>43566</v>
      </c>
      <c r="C411" s="23">
        <v>48.8125</v>
      </c>
    </row>
    <row r="412" spans="2:3" x14ac:dyDescent="0.2">
      <c r="B412" s="22">
        <v>43565</v>
      </c>
      <c r="C412" s="23">
        <v>47.8125</v>
      </c>
    </row>
    <row r="413" spans="2:3" x14ac:dyDescent="0.2">
      <c r="B413" s="22">
        <v>43564</v>
      </c>
      <c r="C413" s="23">
        <v>48.8125</v>
      </c>
    </row>
    <row r="414" spans="2:3" x14ac:dyDescent="0.2">
      <c r="B414" s="22">
        <v>43563</v>
      </c>
      <c r="C414" s="23">
        <v>47.6875</v>
      </c>
    </row>
    <row r="415" spans="2:3" x14ac:dyDescent="0.2">
      <c r="B415" s="22">
        <v>43560</v>
      </c>
      <c r="C415" s="23">
        <v>47.25</v>
      </c>
    </row>
    <row r="416" spans="2:3" x14ac:dyDescent="0.2">
      <c r="B416" s="22">
        <v>43559</v>
      </c>
      <c r="C416" s="23">
        <v>48.5</v>
      </c>
    </row>
    <row r="417" spans="2:3" x14ac:dyDescent="0.2">
      <c r="B417" s="22">
        <v>43558</v>
      </c>
      <c r="C417" s="23">
        <v>48.5</v>
      </c>
    </row>
    <row r="418" spans="2:3" x14ac:dyDescent="0.2">
      <c r="B418" s="22">
        <v>43556</v>
      </c>
      <c r="C418" s="23">
        <v>46.125</v>
      </c>
    </row>
    <row r="419" spans="2:3" x14ac:dyDescent="0.2">
      <c r="B419" s="22">
        <v>43553</v>
      </c>
      <c r="C419" s="23">
        <v>45.6875</v>
      </c>
    </row>
    <row r="420" spans="2:3" x14ac:dyDescent="0.2">
      <c r="B420" s="22">
        <v>43552</v>
      </c>
      <c r="C420" s="23">
        <v>45.3125</v>
      </c>
    </row>
    <row r="421" spans="2:3" x14ac:dyDescent="0.2">
      <c r="B421" s="22">
        <v>43551</v>
      </c>
      <c r="C421" s="23">
        <v>43.25</v>
      </c>
    </row>
    <row r="422" spans="2:3" x14ac:dyDescent="0.2">
      <c r="B422" s="22">
        <v>43550</v>
      </c>
      <c r="C422" s="23">
        <v>44.125</v>
      </c>
    </row>
    <row r="423" spans="2:3" x14ac:dyDescent="0.2">
      <c r="B423" s="22">
        <v>43549</v>
      </c>
      <c r="C423" s="23">
        <v>44.1875</v>
      </c>
    </row>
    <row r="424" spans="2:3" x14ac:dyDescent="0.2">
      <c r="B424" s="22">
        <v>43546</v>
      </c>
      <c r="C424" s="23">
        <v>43</v>
      </c>
    </row>
    <row r="425" spans="2:3" x14ac:dyDescent="0.2">
      <c r="B425" s="22">
        <v>43545</v>
      </c>
      <c r="C425" s="23">
        <v>43.25</v>
      </c>
    </row>
    <row r="426" spans="2:3" x14ac:dyDescent="0.2">
      <c r="B426" s="22">
        <v>43544</v>
      </c>
      <c r="C426" s="23">
        <v>42.0625</v>
      </c>
    </row>
    <row r="427" spans="2:3" x14ac:dyDescent="0.2">
      <c r="B427" s="22">
        <v>43543</v>
      </c>
      <c r="C427" s="23">
        <v>43.125</v>
      </c>
    </row>
    <row r="428" spans="2:3" x14ac:dyDescent="0.2">
      <c r="B428" s="22">
        <v>43542</v>
      </c>
      <c r="C428" s="23">
        <v>42.25</v>
      </c>
    </row>
    <row r="429" spans="2:3" x14ac:dyDescent="0.2">
      <c r="B429" s="22">
        <v>43539</v>
      </c>
      <c r="C429" s="23">
        <v>43.5</v>
      </c>
    </row>
    <row r="430" spans="2:3" x14ac:dyDescent="0.2">
      <c r="B430" s="22">
        <v>43538</v>
      </c>
      <c r="C430" s="23">
        <v>41.3125</v>
      </c>
    </row>
    <row r="431" spans="2:3" x14ac:dyDescent="0.2">
      <c r="B431" s="22">
        <v>43537</v>
      </c>
      <c r="C431" s="23">
        <v>40.75</v>
      </c>
    </row>
    <row r="432" spans="2:3" x14ac:dyDescent="0.2">
      <c r="B432" s="22">
        <v>43536</v>
      </c>
      <c r="C432" s="23">
        <v>40.8125</v>
      </c>
    </row>
    <row r="433" spans="2:3" x14ac:dyDescent="0.2">
      <c r="B433" s="22">
        <v>43535</v>
      </c>
      <c r="C433" s="23">
        <v>39.5625</v>
      </c>
    </row>
    <row r="434" spans="2:3" x14ac:dyDescent="0.2">
      <c r="B434" s="22">
        <v>43532</v>
      </c>
      <c r="C434" s="23">
        <v>39.125</v>
      </c>
    </row>
    <row r="435" spans="2:3" x14ac:dyDescent="0.2">
      <c r="B435" s="22">
        <v>43531</v>
      </c>
      <c r="C435" s="23">
        <v>37.3125</v>
      </c>
    </row>
    <row r="436" spans="2:3" x14ac:dyDescent="0.2">
      <c r="B436" s="22">
        <v>43530</v>
      </c>
      <c r="C436" s="23">
        <v>36.5625</v>
      </c>
    </row>
    <row r="437" spans="2:3" x14ac:dyDescent="0.2">
      <c r="B437" s="22">
        <v>43525</v>
      </c>
      <c r="C437" s="23">
        <v>36.625</v>
      </c>
    </row>
    <row r="438" spans="2:3" x14ac:dyDescent="0.2">
      <c r="B438" s="22">
        <v>43524</v>
      </c>
      <c r="C438" s="23">
        <v>37.125</v>
      </c>
    </row>
    <row r="439" spans="2:3" x14ac:dyDescent="0.2">
      <c r="B439" s="22">
        <v>43523</v>
      </c>
      <c r="C439" s="23">
        <v>36.8125</v>
      </c>
    </row>
    <row r="440" spans="2:3" x14ac:dyDescent="0.2">
      <c r="B440" s="22">
        <v>43522</v>
      </c>
      <c r="C440" s="23">
        <v>37.375</v>
      </c>
    </row>
    <row r="441" spans="2:3" x14ac:dyDescent="0.2">
      <c r="B441" s="22">
        <v>43521</v>
      </c>
      <c r="C441" s="23">
        <v>36</v>
      </c>
    </row>
    <row r="442" spans="2:3" x14ac:dyDescent="0.2">
      <c r="B442" s="22">
        <v>43518</v>
      </c>
      <c r="C442" s="23">
        <v>36.5625</v>
      </c>
    </row>
    <row r="443" spans="2:3" x14ac:dyDescent="0.2">
      <c r="B443" s="22">
        <v>43517</v>
      </c>
      <c r="C443" s="23">
        <v>35.9375</v>
      </c>
    </row>
    <row r="444" spans="2:3" x14ac:dyDescent="0.2">
      <c r="B444" s="22">
        <v>43516</v>
      </c>
      <c r="C444" s="23">
        <v>35.1875</v>
      </c>
    </row>
    <row r="445" spans="2:3" x14ac:dyDescent="0.2">
      <c r="B445" s="22">
        <v>43515</v>
      </c>
      <c r="C445" s="23">
        <v>35.375</v>
      </c>
    </row>
    <row r="446" spans="2:3" x14ac:dyDescent="0.2">
      <c r="B446" s="22">
        <v>43514</v>
      </c>
      <c r="C446" s="23">
        <v>35.25</v>
      </c>
    </row>
    <row r="447" spans="2:3" x14ac:dyDescent="0.2">
      <c r="B447" s="22">
        <v>43511</v>
      </c>
      <c r="C447" s="23">
        <v>35.375</v>
      </c>
    </row>
    <row r="448" spans="2:3" x14ac:dyDescent="0.2">
      <c r="B448" s="22">
        <v>43510</v>
      </c>
      <c r="C448" s="23">
        <v>36.0625</v>
      </c>
    </row>
    <row r="449" spans="2:3" x14ac:dyDescent="0.2">
      <c r="B449" s="22">
        <v>43509</v>
      </c>
      <c r="C449" s="23">
        <v>35.875</v>
      </c>
    </row>
    <row r="450" spans="2:3" x14ac:dyDescent="0.2">
      <c r="B450" s="22">
        <v>43508</v>
      </c>
      <c r="C450" s="23">
        <v>36.625</v>
      </c>
    </row>
    <row r="451" spans="2:3" x14ac:dyDescent="0.2">
      <c r="B451" s="22">
        <v>43507</v>
      </c>
      <c r="C451" s="23">
        <v>37.375</v>
      </c>
    </row>
    <row r="452" spans="2:3" x14ac:dyDescent="0.2">
      <c r="B452" s="22">
        <v>43504</v>
      </c>
      <c r="C452" s="23">
        <v>38.125</v>
      </c>
    </row>
    <row r="453" spans="2:3" x14ac:dyDescent="0.2">
      <c r="B453" s="22">
        <v>43503</v>
      </c>
      <c r="C453" s="23">
        <v>39.4375</v>
      </c>
    </row>
    <row r="454" spans="2:3" x14ac:dyDescent="0.2">
      <c r="B454" s="22">
        <v>43502</v>
      </c>
      <c r="C454" s="23">
        <v>40.8125</v>
      </c>
    </row>
    <row r="455" spans="2:3" x14ac:dyDescent="0.2">
      <c r="B455" s="22">
        <v>43501</v>
      </c>
      <c r="C455" s="23">
        <v>41.4375</v>
      </c>
    </row>
    <row r="456" spans="2:3" x14ac:dyDescent="0.2">
      <c r="B456" s="22">
        <v>43500</v>
      </c>
      <c r="C456" s="23">
        <v>42.375</v>
      </c>
    </row>
    <row r="457" spans="2:3" x14ac:dyDescent="0.2">
      <c r="B457" s="22">
        <v>43497</v>
      </c>
      <c r="C457" s="23">
        <v>42.5625</v>
      </c>
    </row>
    <row r="458" spans="2:3" x14ac:dyDescent="0.2">
      <c r="B458" s="22">
        <v>43496</v>
      </c>
      <c r="C458" s="23">
        <v>44.5625</v>
      </c>
    </row>
    <row r="459" spans="2:3" x14ac:dyDescent="0.2">
      <c r="B459" s="22">
        <v>43495</v>
      </c>
      <c r="C459" s="23">
        <v>44.0625</v>
      </c>
    </row>
    <row r="460" spans="2:3" x14ac:dyDescent="0.2">
      <c r="B460" s="22">
        <v>43494</v>
      </c>
      <c r="C460" s="23">
        <v>44.625</v>
      </c>
    </row>
    <row r="461" spans="2:3" x14ac:dyDescent="0.2">
      <c r="B461" s="22">
        <v>43493</v>
      </c>
      <c r="C461" s="23">
        <v>44.5</v>
      </c>
    </row>
    <row r="462" spans="2:3" x14ac:dyDescent="0.2">
      <c r="B462" s="22">
        <v>43490</v>
      </c>
      <c r="C462" s="23">
        <v>44.625</v>
      </c>
    </row>
    <row r="463" spans="2:3" x14ac:dyDescent="0.2">
      <c r="B463" s="22">
        <v>43489</v>
      </c>
      <c r="C463" s="23">
        <v>45.375</v>
      </c>
    </row>
    <row r="464" spans="2:3" x14ac:dyDescent="0.2">
      <c r="B464" s="22">
        <v>43488</v>
      </c>
      <c r="C464" s="23">
        <v>45.8125</v>
      </c>
    </row>
    <row r="465" spans="2:3" x14ac:dyDescent="0.2">
      <c r="B465" s="22">
        <v>43487</v>
      </c>
      <c r="C465" s="23">
        <v>45.5625</v>
      </c>
    </row>
    <row r="466" spans="2:3" x14ac:dyDescent="0.2">
      <c r="B466" s="22">
        <v>43486</v>
      </c>
      <c r="C466" s="23">
        <v>45.125</v>
      </c>
    </row>
    <row r="467" spans="2:3" x14ac:dyDescent="0.2">
      <c r="B467" s="22">
        <v>43483</v>
      </c>
      <c r="C467" s="23">
        <v>46</v>
      </c>
    </row>
    <row r="468" spans="2:3" x14ac:dyDescent="0.2">
      <c r="B468" s="22">
        <v>43482</v>
      </c>
      <c r="C468" s="23">
        <v>45.75</v>
      </c>
    </row>
    <row r="469" spans="2:3" x14ac:dyDescent="0.2">
      <c r="B469" s="22">
        <v>43481</v>
      </c>
      <c r="C469" s="23">
        <v>45.625</v>
      </c>
    </row>
    <row r="470" spans="2:3" x14ac:dyDescent="0.2">
      <c r="B470" s="22">
        <v>43480</v>
      </c>
      <c r="C470" s="23">
        <v>46.5</v>
      </c>
    </row>
    <row r="471" spans="2:3" x14ac:dyDescent="0.2">
      <c r="B471" s="22">
        <v>43479</v>
      </c>
      <c r="C471" s="23">
        <v>45.875</v>
      </c>
    </row>
    <row r="472" spans="2:3" x14ac:dyDescent="0.2">
      <c r="B472" s="22">
        <v>43476</v>
      </c>
      <c r="C472" s="23">
        <v>45.625</v>
      </c>
    </row>
    <row r="473" spans="2:3" x14ac:dyDescent="0.2">
      <c r="B473" s="22">
        <v>43475</v>
      </c>
      <c r="C473" s="23">
        <v>46.5625</v>
      </c>
    </row>
    <row r="474" spans="2:3" x14ac:dyDescent="0.2">
      <c r="B474" s="22">
        <v>43474</v>
      </c>
      <c r="C474" s="23">
        <v>45.9375</v>
      </c>
    </row>
    <row r="475" spans="2:3" x14ac:dyDescent="0.2">
      <c r="B475" s="22">
        <v>43473</v>
      </c>
      <c r="C475" s="23">
        <v>47.0625</v>
      </c>
    </row>
    <row r="476" spans="2:3" x14ac:dyDescent="0.2">
      <c r="B476" s="22">
        <v>43472</v>
      </c>
      <c r="C476" s="23">
        <v>47.25</v>
      </c>
    </row>
    <row r="477" spans="2:3" x14ac:dyDescent="0.2">
      <c r="B477" s="22">
        <v>43469</v>
      </c>
      <c r="C477" s="23">
        <v>46.9375</v>
      </c>
    </row>
    <row r="478" spans="2:3" x14ac:dyDescent="0.2">
      <c r="B478" s="22">
        <v>43468</v>
      </c>
      <c r="C478" s="23">
        <v>47.5</v>
      </c>
    </row>
    <row r="479" spans="2:3" x14ac:dyDescent="0.2">
      <c r="B479" s="22">
        <v>43467</v>
      </c>
      <c r="C479" s="23">
        <v>47</v>
      </c>
    </row>
    <row r="480" spans="2:3" x14ac:dyDescent="0.2">
      <c r="B480" s="22">
        <v>43462</v>
      </c>
      <c r="C480" s="23">
        <v>49.5</v>
      </c>
    </row>
    <row r="481" spans="2:3" x14ac:dyDescent="0.2">
      <c r="B481" s="22">
        <v>43461</v>
      </c>
      <c r="C481" s="23">
        <v>48.25</v>
      </c>
    </row>
    <row r="482" spans="2:3" x14ac:dyDescent="0.2">
      <c r="B482" s="22">
        <v>43460</v>
      </c>
      <c r="C482" s="23">
        <v>47</v>
      </c>
    </row>
    <row r="483" spans="2:3" x14ac:dyDescent="0.2">
      <c r="B483" s="22">
        <v>43455</v>
      </c>
      <c r="C483" s="23">
        <v>47.9375</v>
      </c>
    </row>
    <row r="484" spans="2:3" x14ac:dyDescent="0.2">
      <c r="B484" s="22">
        <v>43454</v>
      </c>
      <c r="C484" s="23">
        <v>48.5625</v>
      </c>
    </row>
    <row r="485" spans="2:3" x14ac:dyDescent="0.2">
      <c r="B485" s="22">
        <v>43453</v>
      </c>
      <c r="C485" s="23">
        <v>49.5625</v>
      </c>
    </row>
    <row r="486" spans="2:3" x14ac:dyDescent="0.2">
      <c r="B486" s="22">
        <v>43452</v>
      </c>
      <c r="C486" s="23">
        <v>48.0625</v>
      </c>
    </row>
    <row r="487" spans="2:3" x14ac:dyDescent="0.2">
      <c r="B487" s="22">
        <v>43451</v>
      </c>
      <c r="C487" s="23">
        <v>48.5</v>
      </c>
    </row>
    <row r="488" spans="2:3" x14ac:dyDescent="0.2">
      <c r="B488" s="22">
        <v>43448</v>
      </c>
      <c r="C488" s="23">
        <v>47.3125</v>
      </c>
    </row>
    <row r="489" spans="2:3" x14ac:dyDescent="0.2">
      <c r="B489" s="22">
        <v>43447</v>
      </c>
      <c r="C489" s="23">
        <v>48.5625</v>
      </c>
    </row>
    <row r="490" spans="2:3" x14ac:dyDescent="0.2">
      <c r="B490" s="22">
        <v>43446</v>
      </c>
      <c r="C490" s="23">
        <v>47.8125</v>
      </c>
    </row>
    <row r="491" spans="2:3" x14ac:dyDescent="0.2">
      <c r="B491" s="22">
        <v>43445</v>
      </c>
      <c r="C491" s="23">
        <v>49.625</v>
      </c>
    </row>
    <row r="492" spans="2:3" x14ac:dyDescent="0.2">
      <c r="B492" s="22">
        <v>43444</v>
      </c>
      <c r="C492" s="23">
        <v>48</v>
      </c>
    </row>
    <row r="493" spans="2:3" x14ac:dyDescent="0.2">
      <c r="B493" s="22">
        <v>43441</v>
      </c>
      <c r="C493" s="23">
        <v>48.875</v>
      </c>
    </row>
    <row r="494" spans="2:3" x14ac:dyDescent="0.2">
      <c r="B494" s="22">
        <v>43440</v>
      </c>
      <c r="C494" s="23">
        <v>49.25</v>
      </c>
    </row>
    <row r="495" spans="2:3" x14ac:dyDescent="0.2">
      <c r="B495" s="22">
        <v>43439</v>
      </c>
      <c r="C495" s="23">
        <v>49.1875</v>
      </c>
    </row>
    <row r="496" spans="2:3" x14ac:dyDescent="0.2">
      <c r="B496" s="22">
        <v>43438</v>
      </c>
      <c r="C496" s="23">
        <v>50.1875</v>
      </c>
    </row>
    <row r="497" spans="2:3" x14ac:dyDescent="0.2">
      <c r="B497" s="22">
        <v>43437</v>
      </c>
      <c r="C497" s="23">
        <v>49.25</v>
      </c>
    </row>
    <row r="498" spans="2:3" x14ac:dyDescent="0.2">
      <c r="B498" s="22">
        <v>43433</v>
      </c>
      <c r="C498" s="23">
        <v>51.25</v>
      </c>
    </row>
    <row r="499" spans="2:3" x14ac:dyDescent="0.2">
      <c r="B499" s="22">
        <v>43432</v>
      </c>
      <c r="C499" s="23">
        <v>50.625</v>
      </c>
    </row>
    <row r="500" spans="2:3" x14ac:dyDescent="0.2">
      <c r="B500" s="22">
        <v>43431</v>
      </c>
      <c r="C500" s="23">
        <v>51.625</v>
      </c>
    </row>
    <row r="501" spans="2:3" x14ac:dyDescent="0.2">
      <c r="B501" s="22">
        <v>43430</v>
      </c>
      <c r="C501" s="23">
        <v>48.8125</v>
      </c>
    </row>
    <row r="502" spans="2:3" x14ac:dyDescent="0.2">
      <c r="B502" s="22">
        <v>43427</v>
      </c>
      <c r="C502" s="23">
        <v>50.0625</v>
      </c>
    </row>
    <row r="503" spans="2:3" x14ac:dyDescent="0.2">
      <c r="B503" s="22">
        <v>43426</v>
      </c>
      <c r="C503" s="23">
        <v>50.4375</v>
      </c>
    </row>
    <row r="504" spans="2:3" x14ac:dyDescent="0.2">
      <c r="B504" s="22">
        <v>43425</v>
      </c>
      <c r="C504" s="23">
        <v>50.3125</v>
      </c>
    </row>
    <row r="505" spans="2:3" x14ac:dyDescent="0.2">
      <c r="B505" s="22">
        <v>43424</v>
      </c>
      <c r="C505" s="23">
        <v>51.125</v>
      </c>
    </row>
    <row r="506" spans="2:3" x14ac:dyDescent="0.2">
      <c r="B506" s="22">
        <v>43420</v>
      </c>
      <c r="C506" s="23">
        <v>51.5625</v>
      </c>
    </row>
    <row r="507" spans="2:3" x14ac:dyDescent="0.2">
      <c r="B507" s="22">
        <v>43419</v>
      </c>
      <c r="C507" s="23">
        <v>52.25</v>
      </c>
    </row>
    <row r="508" spans="2:3" x14ac:dyDescent="0.2">
      <c r="B508" s="22">
        <v>43418</v>
      </c>
      <c r="C508" s="23">
        <v>53.0625</v>
      </c>
    </row>
    <row r="509" spans="2:3" x14ac:dyDescent="0.2">
      <c r="B509" s="22">
        <v>43417</v>
      </c>
      <c r="C509" s="23">
        <v>51.25</v>
      </c>
    </row>
    <row r="510" spans="2:3" x14ac:dyDescent="0.2">
      <c r="B510" s="22">
        <v>43416</v>
      </c>
      <c r="C510" s="23">
        <v>51.875</v>
      </c>
    </row>
    <row r="511" spans="2:3" x14ac:dyDescent="0.2">
      <c r="B511" s="22">
        <v>43413</v>
      </c>
      <c r="C511" s="23">
        <v>50.9375</v>
      </c>
    </row>
    <row r="512" spans="2:3" x14ac:dyDescent="0.2">
      <c r="B512" s="22">
        <v>43412</v>
      </c>
      <c r="C512" s="23">
        <v>52.0625</v>
      </c>
    </row>
    <row r="513" spans="2:3" x14ac:dyDescent="0.2">
      <c r="B513" s="22">
        <v>43411</v>
      </c>
      <c r="C513" s="23">
        <v>52.125</v>
      </c>
    </row>
    <row r="514" spans="2:3" x14ac:dyDescent="0.2">
      <c r="B514" s="22">
        <v>43409</v>
      </c>
      <c r="C514" s="23">
        <v>51.6875</v>
      </c>
    </row>
    <row r="515" spans="2:3" x14ac:dyDescent="0.2">
      <c r="B515" s="22">
        <v>43406</v>
      </c>
      <c r="C515" s="23">
        <v>51.25</v>
      </c>
    </row>
    <row r="516" spans="2:3" x14ac:dyDescent="0.2">
      <c r="B516" s="22">
        <v>43405</v>
      </c>
      <c r="C516" s="23">
        <v>53.625</v>
      </c>
    </row>
    <row r="517" spans="2:3" x14ac:dyDescent="0.2">
      <c r="B517" s="22">
        <v>43404</v>
      </c>
      <c r="C517" s="23">
        <v>51.5</v>
      </c>
    </row>
    <row r="518" spans="2:3" x14ac:dyDescent="0.2">
      <c r="B518" s="22">
        <v>43403</v>
      </c>
      <c r="C518" s="23">
        <v>53.25</v>
      </c>
    </row>
    <row r="519" spans="2:3" x14ac:dyDescent="0.2">
      <c r="B519" s="22">
        <v>43402</v>
      </c>
      <c r="C519" s="23">
        <v>51.4375</v>
      </c>
    </row>
    <row r="520" spans="2:3" x14ac:dyDescent="0.2">
      <c r="B520" s="22">
        <v>43399</v>
      </c>
      <c r="C520" s="23">
        <v>50.25</v>
      </c>
    </row>
    <row r="521" spans="2:3" x14ac:dyDescent="0.2">
      <c r="B521" s="22">
        <v>43398</v>
      </c>
      <c r="C521" s="23">
        <v>53.8125</v>
      </c>
    </row>
    <row r="522" spans="2:3" x14ac:dyDescent="0.2">
      <c r="B522" s="22">
        <v>43397</v>
      </c>
      <c r="C522" s="23">
        <v>51.5</v>
      </c>
    </row>
    <row r="523" spans="2:3" x14ac:dyDescent="0.2">
      <c r="B523" s="22">
        <v>43396</v>
      </c>
      <c r="C523" s="23">
        <v>52.5625</v>
      </c>
    </row>
    <row r="524" spans="2:3" x14ac:dyDescent="0.2">
      <c r="B524" s="22">
        <v>43395</v>
      </c>
      <c r="C524" s="23">
        <v>51.1875</v>
      </c>
    </row>
    <row r="525" spans="2:3" x14ac:dyDescent="0.2">
      <c r="B525" s="22">
        <v>43392</v>
      </c>
      <c r="C525" s="23">
        <v>53.25</v>
      </c>
    </row>
    <row r="526" spans="2:3" x14ac:dyDescent="0.2">
      <c r="B526" s="22">
        <v>43391</v>
      </c>
      <c r="C526" s="23">
        <v>53.4375</v>
      </c>
    </row>
    <row r="527" spans="2:3" x14ac:dyDescent="0.2">
      <c r="B527" s="22">
        <v>43390</v>
      </c>
      <c r="C527" s="23">
        <v>52.8125</v>
      </c>
    </row>
    <row r="528" spans="2:3" x14ac:dyDescent="0.2">
      <c r="B528" s="22">
        <v>43389</v>
      </c>
      <c r="C528" s="23">
        <v>49.8125</v>
      </c>
    </row>
    <row r="529" spans="2:3" x14ac:dyDescent="0.2">
      <c r="B529" s="22">
        <v>43385</v>
      </c>
      <c r="C529" s="23">
        <v>51.375</v>
      </c>
    </row>
    <row r="530" spans="2:3" x14ac:dyDescent="0.2">
      <c r="B530" s="22">
        <v>43384</v>
      </c>
      <c r="C530" s="23">
        <v>48.6875</v>
      </c>
    </row>
    <row r="531" spans="2:3" x14ac:dyDescent="0.2">
      <c r="B531" s="22">
        <v>43383</v>
      </c>
      <c r="C531" s="23">
        <v>48.8125</v>
      </c>
    </row>
    <row r="532" spans="2:3" x14ac:dyDescent="0.2">
      <c r="B532" s="22">
        <v>43382</v>
      </c>
      <c r="C532" s="23">
        <v>50.1875</v>
      </c>
    </row>
    <row r="533" spans="2:3" x14ac:dyDescent="0.2">
      <c r="B533" s="22">
        <v>43381</v>
      </c>
      <c r="C533" s="23">
        <v>49</v>
      </c>
    </row>
    <row r="534" spans="2:3" x14ac:dyDescent="0.2">
      <c r="B534" s="22">
        <v>43378</v>
      </c>
      <c r="C534" s="23">
        <v>48.6875</v>
      </c>
    </row>
    <row r="535" spans="2:3" x14ac:dyDescent="0.2">
      <c r="B535" s="22">
        <v>43377</v>
      </c>
      <c r="C535" s="23">
        <v>48.6875</v>
      </c>
    </row>
    <row r="536" spans="2:3" x14ac:dyDescent="0.2">
      <c r="B536" s="22">
        <v>43376</v>
      </c>
      <c r="C536" s="23">
        <v>47.25</v>
      </c>
    </row>
    <row r="537" spans="2:3" x14ac:dyDescent="0.2">
      <c r="B537" s="22">
        <v>43375</v>
      </c>
      <c r="C537" s="23">
        <v>47.875</v>
      </c>
    </row>
    <row r="538" spans="2:3" x14ac:dyDescent="0.2">
      <c r="B538" s="22">
        <v>43374</v>
      </c>
      <c r="C538" s="23">
        <v>45.4375</v>
      </c>
    </row>
    <row r="539" spans="2:3" x14ac:dyDescent="0.2">
      <c r="B539" s="22">
        <v>43371</v>
      </c>
      <c r="C539" s="23">
        <v>43.3125</v>
      </c>
    </row>
    <row r="540" spans="2:3" x14ac:dyDescent="0.2">
      <c r="B540" s="22">
        <v>43370</v>
      </c>
      <c r="C540" s="23">
        <v>42.75</v>
      </c>
    </row>
    <row r="541" spans="2:3" x14ac:dyDescent="0.2">
      <c r="B541" s="22">
        <v>43369</v>
      </c>
      <c r="C541" s="23">
        <v>42.4375</v>
      </c>
    </row>
    <row r="542" spans="2:3" x14ac:dyDescent="0.2">
      <c r="B542" s="22">
        <v>43368</v>
      </c>
      <c r="C542" s="23">
        <v>44.5</v>
      </c>
    </row>
    <row r="543" spans="2:3" x14ac:dyDescent="0.2">
      <c r="B543" s="22">
        <v>43367</v>
      </c>
      <c r="C543" s="23">
        <v>43.125</v>
      </c>
    </row>
    <row r="544" spans="2:3" x14ac:dyDescent="0.2">
      <c r="B544" s="22">
        <v>43364</v>
      </c>
      <c r="C544" s="23">
        <v>42.6875</v>
      </c>
    </row>
    <row r="545" spans="2:3" x14ac:dyDescent="0.2">
      <c r="B545" s="22">
        <v>43363</v>
      </c>
      <c r="C545" s="23">
        <v>43.9375</v>
      </c>
    </row>
    <row r="546" spans="2:3" x14ac:dyDescent="0.2">
      <c r="B546" s="22">
        <v>43362</v>
      </c>
      <c r="C546" s="23">
        <v>45.4375</v>
      </c>
    </row>
  </sheetData>
  <sheetProtection algorithmName="SHA-512" hashValue="KgxgGib2ATQvg93DuSMeXS4Sl3B9Bj62StAhDbMBo9sZWJnpVewUntrioIJFVkwroeHSQvw0VCHam9y1TiTTvw==" saltValue="Zwg6SCmWjpbqaTB/u8Dxr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CGC</vt:lpstr>
      <vt:lpstr>Clase 19 DL</vt:lpstr>
      <vt:lpstr>Clase 20 Badlar</vt:lpstr>
      <vt:lpstr>Clase 21 USD</vt:lpstr>
      <vt:lpstr>Inputs</vt:lpstr>
    </vt:vector>
  </TitlesOfParts>
  <Company>Banco Itau Argentina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Ponieman</dc:creator>
  <cp:lastModifiedBy>Clari</cp:lastModifiedBy>
  <cp:lastPrinted>2012-07-11T16:27:23Z</cp:lastPrinted>
  <dcterms:created xsi:type="dcterms:W3CDTF">2012-05-11T18:43:00Z</dcterms:created>
  <dcterms:modified xsi:type="dcterms:W3CDTF">2021-06-04T13:05:37Z</dcterms:modified>
</cp:coreProperties>
</file>