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450\Google Drive\Banco\FyE\Emisiones\CTBarragan\Agosto 2021\"/>
    </mc:Choice>
  </mc:AlternateContent>
  <xr:revisionPtr revIDLastSave="0" documentId="8_{C6FEFAF7-605A-406E-ACE8-8BD3B10A732D}" xr6:coauthVersionLast="47" xr6:coauthVersionMax="47" xr10:uidLastSave="{00000000-0000-0000-0000-000000000000}"/>
  <bookViews>
    <workbookView xWindow="-120" yWindow="-120" windowWidth="19800" windowHeight="11760" tabRatio="848" xr2:uid="{00000000-000D-0000-FFFF-FFFF00000000}"/>
  </bookViews>
  <sheets>
    <sheet name="CT Barragan" sheetId="15" r:id="rId1"/>
    <sheet name="Clase 1 DL" sheetId="19" r:id="rId2"/>
    <sheet name="Clase 2 UVA" sheetId="20" r:id="rId3"/>
    <sheet name="Inputs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5" l="1"/>
  <c r="C3" i="19"/>
  <c r="C3" i="20"/>
  <c r="G4" i="15"/>
  <c r="F5" i="15"/>
  <c r="L3" i="20" l="1"/>
  <c r="L6" i="20"/>
  <c r="L7" i="20"/>
  <c r="L8" i="20"/>
  <c r="L9" i="20"/>
  <c r="L10" i="20"/>
  <c r="L11" i="20"/>
  <c r="L12" i="20"/>
  <c r="L13" i="20"/>
  <c r="L14" i="20"/>
  <c r="L15" i="20"/>
  <c r="L16" i="20"/>
  <c r="L5" i="20"/>
  <c r="G6" i="20" l="1"/>
  <c r="G7" i="20"/>
  <c r="G8" i="20"/>
  <c r="G9" i="20"/>
  <c r="G10" i="20"/>
  <c r="G11" i="20"/>
  <c r="G12" i="20"/>
  <c r="G13" i="20"/>
  <c r="G14" i="20"/>
  <c r="G15" i="20"/>
  <c r="G16" i="20"/>
  <c r="G5" i="20"/>
  <c r="J3" i="20"/>
  <c r="E3" i="20"/>
  <c r="G6" i="19"/>
  <c r="G7" i="19"/>
  <c r="G8" i="19"/>
  <c r="G9" i="19"/>
  <c r="G10" i="19"/>
  <c r="G11" i="19"/>
  <c r="G12" i="19"/>
  <c r="G5" i="19"/>
  <c r="I5" i="19"/>
  <c r="E3" i="19"/>
  <c r="C13" i="19" s="1"/>
  <c r="C5" i="20"/>
  <c r="F4" i="15"/>
  <c r="C13" i="20" l="1"/>
  <c r="K3" i="20"/>
  <c r="C4" i="19" l="1"/>
  <c r="G2" i="20"/>
  <c r="D5" i="20"/>
  <c r="D6" i="20" s="1"/>
  <c r="D7" i="20" s="1"/>
  <c r="D8" i="20" s="1"/>
  <c r="D9" i="20" s="1"/>
  <c r="H2" i="20"/>
  <c r="F2" i="20"/>
  <c r="D10" i="20" l="1"/>
  <c r="D11" i="20" s="1"/>
  <c r="D12" i="20" s="1"/>
  <c r="D13" i="20" s="1"/>
  <c r="D14" i="20" s="1"/>
  <c r="D15" i="20" s="1"/>
  <c r="D16" i="20" s="1"/>
  <c r="D5" i="19"/>
  <c r="D6" i="19" s="1"/>
  <c r="D7" i="19" s="1"/>
  <c r="D8" i="19" s="1"/>
  <c r="D9" i="19" s="1"/>
  <c r="D10" i="19" s="1"/>
  <c r="D11" i="19" s="1"/>
  <c r="D12" i="19" s="1"/>
  <c r="A2" i="20"/>
  <c r="F12" i="15" l="1"/>
  <c r="F8" i="15"/>
  <c r="F9" i="15"/>
  <c r="J3" i="19"/>
  <c r="C5" i="19"/>
  <c r="A2" i="19"/>
  <c r="F7" i="19" l="1"/>
  <c r="F6" i="19"/>
  <c r="J5" i="19"/>
  <c r="F8" i="19" l="1"/>
  <c r="F5" i="19"/>
  <c r="I8" i="19" l="1"/>
  <c r="J8" i="19" s="1"/>
  <c r="F9" i="19"/>
  <c r="I6" i="19"/>
  <c r="J6" i="19" s="1"/>
  <c r="I9" i="19" l="1"/>
  <c r="J9" i="19" s="1"/>
  <c r="F10" i="19"/>
  <c r="I7" i="19"/>
  <c r="J7" i="19" s="1"/>
  <c r="I11" i="19" l="1"/>
  <c r="J11" i="19" s="1"/>
  <c r="I10" i="19"/>
  <c r="J10" i="19" s="1"/>
  <c r="F12" i="19" l="1"/>
  <c r="F11" i="19"/>
  <c r="I12" i="19" l="1"/>
  <c r="J12" i="19" s="1"/>
  <c r="C8" i="19" s="1"/>
  <c r="B13" i="19"/>
  <c r="C9" i="19" l="1"/>
  <c r="D20" i="15" s="1"/>
  <c r="D21" i="15"/>
  <c r="D14" i="15"/>
  <c r="C6" i="20"/>
  <c r="K7" i="19" l="1"/>
  <c r="K8" i="19"/>
  <c r="K9" i="19"/>
  <c r="K12" i="19"/>
  <c r="K5" i="19"/>
  <c r="K6" i="19"/>
  <c r="K10" i="19"/>
  <c r="K11" i="19"/>
  <c r="L12" i="19"/>
  <c r="M12" i="19" s="1"/>
  <c r="L6" i="19"/>
  <c r="M6" i="19" s="1"/>
  <c r="L7" i="19"/>
  <c r="M7" i="19" s="1"/>
  <c r="L10" i="19"/>
  <c r="M10" i="19" s="1"/>
  <c r="L9" i="19"/>
  <c r="M9" i="19" s="1"/>
  <c r="L5" i="19"/>
  <c r="M5" i="19" s="1"/>
  <c r="L8" i="19"/>
  <c r="M8" i="19" s="1"/>
  <c r="L11" i="19"/>
  <c r="M11" i="19" s="1"/>
  <c r="I12" i="20"/>
  <c r="J12" i="20" s="1"/>
  <c r="K12" i="20" s="1"/>
  <c r="M12" i="20" s="1"/>
  <c r="K3" i="19" l="1"/>
  <c r="D23" i="15" s="1"/>
  <c r="L4" i="19"/>
  <c r="C12" i="19" s="1"/>
  <c r="I13" i="20"/>
  <c r="J13" i="20" s="1"/>
  <c r="K13" i="20" s="1"/>
  <c r="M13" i="20" s="1"/>
  <c r="F12" i="20"/>
  <c r="F5" i="20"/>
  <c r="I5" i="20"/>
  <c r="I14" i="20" l="1"/>
  <c r="J14" i="20" s="1"/>
  <c r="K14" i="20" s="1"/>
  <c r="M14" i="20" s="1"/>
  <c r="F13" i="20"/>
  <c r="F6" i="20"/>
  <c r="I6" i="20"/>
  <c r="I15" i="20" l="1"/>
  <c r="J15" i="20" s="1"/>
  <c r="K15" i="20" s="1"/>
  <c r="M15" i="20" s="1"/>
  <c r="F14" i="20"/>
  <c r="F7" i="20"/>
  <c r="I7" i="20"/>
  <c r="F15" i="20" l="1"/>
  <c r="F16" i="20"/>
  <c r="F8" i="20"/>
  <c r="I8" i="20"/>
  <c r="I16" i="20" l="1"/>
  <c r="I10" i="20"/>
  <c r="J10" i="20" s="1"/>
  <c r="K10" i="20" s="1"/>
  <c r="M10" i="20" s="1"/>
  <c r="F9" i="20"/>
  <c r="I9" i="20"/>
  <c r="F11" i="20" l="1"/>
  <c r="F10" i="20"/>
  <c r="O17" i="20"/>
  <c r="D15" i="15"/>
  <c r="I11" i="20" l="1"/>
  <c r="J11" i="20" s="1"/>
  <c r="K11" i="20" s="1"/>
  <c r="M11" i="20" s="1"/>
  <c r="B13" i="20"/>
  <c r="G14" i="15"/>
  <c r="J6" i="20"/>
  <c r="K6" i="20" s="1"/>
  <c r="M6" i="20" s="1"/>
  <c r="J16" i="20"/>
  <c r="K16" i="20" s="1"/>
  <c r="M16" i="20" s="1"/>
  <c r="J5" i="20"/>
  <c r="J7" i="20"/>
  <c r="K7" i="20" s="1"/>
  <c r="M7" i="20" s="1"/>
  <c r="K5" i="20" l="1"/>
  <c r="M5" i="20" s="1"/>
  <c r="J8" i="20"/>
  <c r="K8" i="20" s="1"/>
  <c r="M8" i="20" s="1"/>
  <c r="J9" i="20"/>
  <c r="K9" i="20" s="1"/>
  <c r="M9" i="20" s="1"/>
  <c r="C9" i="20" l="1"/>
  <c r="M3" i="20"/>
  <c r="G23" i="15" s="1"/>
  <c r="N12" i="20"/>
  <c r="O12" i="20" s="1"/>
  <c r="N13" i="20"/>
  <c r="O13" i="20" s="1"/>
  <c r="N14" i="20"/>
  <c r="O14" i="20" s="1"/>
  <c r="N15" i="20"/>
  <c r="O15" i="20" s="1"/>
  <c r="N8" i="20"/>
  <c r="O8" i="20" s="1"/>
  <c r="N10" i="20"/>
  <c r="O10" i="20" s="1"/>
  <c r="N11" i="20"/>
  <c r="O11" i="20" s="1"/>
  <c r="N7" i="20"/>
  <c r="O7" i="20" s="1"/>
  <c r="N5" i="20"/>
  <c r="N16" i="20"/>
  <c r="O16" i="20" s="1"/>
  <c r="N6" i="20"/>
  <c r="O6" i="20" s="1"/>
  <c r="N9" i="20"/>
  <c r="O9" i="20" s="1"/>
  <c r="C10" i="20" l="1"/>
  <c r="G20" i="15" s="1"/>
  <c r="G21" i="15"/>
  <c r="N4" i="20"/>
  <c r="O5" i="20"/>
  <c r="C12" i="20" s="1"/>
  <c r="G15" i="15" l="1"/>
</calcChain>
</file>

<file path=xl/sharedStrings.xml><?xml version="1.0" encoding="utf-8"?>
<sst xmlns="http://schemas.openxmlformats.org/spreadsheetml/2006/main" count="67" uniqueCount="46">
  <si>
    <t>Amortización</t>
  </si>
  <si>
    <t>Intereses</t>
  </si>
  <si>
    <t>Flujo</t>
  </si>
  <si>
    <t>Precio</t>
  </si>
  <si>
    <t>TIR (TEA)</t>
  </si>
  <si>
    <t>TNA</t>
  </si>
  <si>
    <t>VN a licitar</t>
  </si>
  <si>
    <t xml:space="preserve">La presente planilla de cálculo debe ser considerada por el interesado al sólo efecto ilustrativo y ejemplificativo. Los resultados que esta arroje no serán vinculantes y pueden sufrir variaciones ante cambios en cualquiera de los supuestos de elaboración. A los efectos de la suscripción de las Obligaciones Negociables, el interesado deberá basarse en sus propios cálculos y evaluación de la información publicada en el Suplemento de Prospecto y en particular las consideraciones de riesgo para la inversión. </t>
  </si>
  <si>
    <t>Tasa</t>
  </si>
  <si>
    <t>Fecha de Emisión</t>
  </si>
  <si>
    <t>Fecha de Vencimiento</t>
  </si>
  <si>
    <t>Vida Promedio (años)</t>
  </si>
  <si>
    <t>Duration (años)</t>
  </si>
  <si>
    <t>UVA</t>
  </si>
  <si>
    <t xml:space="preserve"> UVA Inicial</t>
  </si>
  <si>
    <t xml:space="preserve">TNA </t>
  </si>
  <si>
    <t>Calificación</t>
  </si>
  <si>
    <t>Trimestral</t>
  </si>
  <si>
    <t>Duration</t>
  </si>
  <si>
    <t>Av. Life</t>
  </si>
  <si>
    <t>Fecha</t>
  </si>
  <si>
    <t>Frecuencia</t>
  </si>
  <si>
    <t>Valor Residual UVA</t>
  </si>
  <si>
    <t>Duration Modificada</t>
  </si>
  <si>
    <t>Av Life</t>
  </si>
  <si>
    <t>Fecha Cupón</t>
  </si>
  <si>
    <t>N°</t>
  </si>
  <si>
    <t>Devengado</t>
  </si>
  <si>
    <t>TIR</t>
  </si>
  <si>
    <t>Dias</t>
  </si>
  <si>
    <t xml:space="preserve"> Tc Inicial (Prom 3d)</t>
  </si>
  <si>
    <t>Reapertura</t>
  </si>
  <si>
    <t>Cupón</t>
  </si>
  <si>
    <t>Precio a Licitar</t>
  </si>
  <si>
    <t xml:space="preserve">Cupon </t>
  </si>
  <si>
    <t>Amortizacion</t>
  </si>
  <si>
    <t>Bullet</t>
  </si>
  <si>
    <t>Precio UVA a licitar</t>
  </si>
  <si>
    <t>TNA requerida</t>
  </si>
  <si>
    <t>Precio UVA</t>
  </si>
  <si>
    <t>Flujo UVA</t>
  </si>
  <si>
    <t>Flujo ARS</t>
  </si>
  <si>
    <t xml:space="preserve">TIR </t>
  </si>
  <si>
    <t>ON CLASE 1 - Dólar Linked (REAPERTURA)</t>
  </si>
  <si>
    <t>ON CLASE 2 - AR$ (REAPERTURA)</t>
  </si>
  <si>
    <t>A+ (Fix)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</si>
</sst>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_ ;\-#,##0.00\ "/>
    <numFmt numFmtId="168" formatCode="#,##0_ ;\-#,##0\ "/>
    <numFmt numFmtId="169" formatCode="0.0000"/>
    <numFmt numFmtId="170" formatCode="#,##0.0000_ ;\-#,##0.0000\ "/>
    <numFmt numFmtId="171" formatCode="dd\-mm\-yy;@"/>
    <numFmt numFmtId="172" formatCode="0.0000%"/>
    <numFmt numFmtId="173" formatCode="_-* #,##0.0000\ _€_-;\-* #,##0.0000\ _€_-;_-* &quot;-&quot;??\ _€_-;_-@_-"/>
    <numFmt numFmtId="174" formatCode="#,##0.000"/>
    <numFmt numFmtId="175" formatCode="#,##0.0000"/>
    <numFmt numFmtId="176" formatCode="0.000%"/>
    <numFmt numFmtId="177" formatCode="#,##0.000_ ;\-#,##0.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9"/>
      <color theme="3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C22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5" fillId="2" borderId="0" xfId="0" applyFont="1" applyFill="1" applyBorder="1"/>
    <xf numFmtId="0" fontId="6" fillId="2" borderId="0" xfId="0" applyFont="1" applyFill="1" applyBorder="1" applyAlignment="1" applyProtection="1">
      <alignment horizontal="center" vertical="center"/>
      <protection hidden="1"/>
    </xf>
    <xf numFmtId="171" fontId="8" fillId="2" borderId="0" xfId="0" applyNumberFormat="1" applyFont="1" applyFill="1" applyBorder="1" applyAlignment="1" applyProtection="1">
      <alignment horizontal="center" vertical="center"/>
      <protection hidden="1"/>
    </xf>
    <xf numFmtId="171" fontId="5" fillId="2" borderId="0" xfId="0" applyNumberFormat="1" applyFont="1" applyFill="1" applyBorder="1"/>
    <xf numFmtId="4" fontId="8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>
      <alignment horizontal="left"/>
    </xf>
    <xf numFmtId="0" fontId="6" fillId="3" borderId="0" xfId="0" applyFont="1" applyFill="1" applyBorder="1" applyAlignment="1" applyProtection="1">
      <alignment horizontal="left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 vertical="center"/>
      <protection hidden="1"/>
    </xf>
    <xf numFmtId="10" fontId="6" fillId="3" borderId="0" xfId="2" applyNumberFormat="1" applyFont="1" applyFill="1" applyBorder="1" applyAlignment="1" applyProtection="1">
      <alignment horizontal="center" vertical="center"/>
      <protection locked="0"/>
    </xf>
    <xf numFmtId="10" fontId="10" fillId="2" borderId="0" xfId="0" applyNumberFormat="1" applyFont="1" applyFill="1" applyBorder="1" applyAlignment="1" applyProtection="1">
      <alignment horizontal="center" vertical="center"/>
      <protection hidden="1"/>
    </xf>
    <xf numFmtId="4" fontId="12" fillId="2" borderId="0" xfId="0" applyNumberFormat="1" applyFont="1" applyFill="1" applyBorder="1" applyAlignment="1" applyProtection="1">
      <alignment horizontal="center" vertical="center"/>
      <protection hidden="1"/>
    </xf>
    <xf numFmtId="170" fontId="9" fillId="2" borderId="0" xfId="1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/>
    <xf numFmtId="165" fontId="5" fillId="2" borderId="0" xfId="1" applyFont="1" applyFill="1" applyBorder="1"/>
    <xf numFmtId="173" fontId="5" fillId="2" borderId="0" xfId="1" applyNumberFormat="1" applyFont="1" applyFill="1" applyBorder="1"/>
    <xf numFmtId="0" fontId="14" fillId="2" borderId="0" xfId="0" applyFont="1" applyFill="1" applyAlignment="1">
      <alignment horizontal="left"/>
    </xf>
    <xf numFmtId="171" fontId="10" fillId="2" borderId="0" xfId="0" applyNumberFormat="1" applyFont="1" applyFill="1" applyBorder="1" applyAlignment="1" applyProtection="1">
      <alignment horizontal="center" vertical="center"/>
      <protection hidden="1"/>
    </xf>
    <xf numFmtId="171" fontId="7" fillId="5" borderId="0" xfId="0" applyNumberFormat="1" applyFont="1" applyFill="1" applyBorder="1" applyAlignment="1" applyProtection="1">
      <alignment horizontal="left" vertical="center"/>
      <protection hidden="1"/>
    </xf>
    <xf numFmtId="0" fontId="7" fillId="5" borderId="0" xfId="0" applyFont="1" applyFill="1" applyBorder="1" applyAlignment="1" applyProtection="1">
      <alignment horizontal="left" vertic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/>
    <xf numFmtId="0" fontId="5" fillId="3" borderId="0" xfId="0" applyFont="1" applyFill="1" applyBorder="1"/>
    <xf numFmtId="0" fontId="5" fillId="2" borderId="0" xfId="0" applyFont="1" applyFill="1"/>
    <xf numFmtId="0" fontId="11" fillId="2" borderId="0" xfId="0" applyFont="1" applyFill="1" applyBorder="1" applyAlignment="1">
      <alignment wrapText="1"/>
    </xf>
    <xf numFmtId="168" fontId="10" fillId="2" borderId="0" xfId="1" applyNumberFormat="1" applyFont="1" applyFill="1" applyBorder="1" applyAlignment="1" applyProtection="1">
      <alignment horizontal="center" vertical="center"/>
      <protection hidden="1"/>
    </xf>
    <xf numFmtId="10" fontId="12" fillId="2" borderId="0" xfId="2" applyNumberFormat="1" applyFont="1" applyFill="1" applyBorder="1" applyAlignment="1">
      <alignment horizontal="left" vertical="center"/>
    </xf>
    <xf numFmtId="2" fontId="12" fillId="2" borderId="0" xfId="0" applyNumberFormat="1" applyFont="1" applyFill="1" applyAlignment="1">
      <alignment horizontal="left"/>
    </xf>
    <xf numFmtId="0" fontId="12" fillId="2" borderId="0" xfId="8" applyFont="1" applyFill="1" applyBorder="1"/>
    <xf numFmtId="0" fontId="12" fillId="2" borderId="0" xfId="9" applyFont="1" applyFill="1" applyBorder="1" applyAlignment="1">
      <alignment horizontal="left" vertical="center"/>
    </xf>
    <xf numFmtId="15" fontId="12" fillId="2" borderId="0" xfId="9" applyNumberFormat="1" applyFont="1" applyFill="1" applyBorder="1" applyAlignment="1">
      <alignment horizontal="left" vertical="center"/>
    </xf>
    <xf numFmtId="10" fontId="12" fillId="2" borderId="0" xfId="11" applyNumberFormat="1" applyFont="1" applyFill="1" applyBorder="1" applyAlignment="1">
      <alignment horizontal="left" vertical="center"/>
    </xf>
    <xf numFmtId="172" fontId="12" fillId="2" borderId="0" xfId="9" applyNumberFormat="1" applyFont="1" applyFill="1" applyBorder="1" applyAlignment="1">
      <alignment horizontal="left" vertical="center"/>
    </xf>
    <xf numFmtId="4" fontId="12" fillId="2" borderId="0" xfId="9" applyNumberFormat="1" applyFont="1" applyFill="1" applyBorder="1" applyAlignment="1">
      <alignment horizontal="left" vertical="center"/>
    </xf>
    <xf numFmtId="0" fontId="12" fillId="2" borderId="0" xfId="8" applyFont="1" applyFill="1" applyBorder="1" applyAlignment="1">
      <alignment horizontal="left"/>
    </xf>
    <xf numFmtId="0" fontId="17" fillId="2" borderId="1" xfId="9" applyFont="1" applyFill="1" applyBorder="1" applyAlignment="1">
      <alignment horizontal="left" vertical="center"/>
    </xf>
    <xf numFmtId="4" fontId="12" fillId="2" borderId="0" xfId="8" applyNumberFormat="1" applyFont="1" applyFill="1" applyBorder="1" applyAlignment="1">
      <alignment horizontal="left"/>
    </xf>
    <xf numFmtId="4" fontId="17" fillId="2" borderId="0" xfId="9" applyNumberFormat="1" applyFont="1" applyFill="1" applyBorder="1" applyAlignment="1">
      <alignment horizontal="left" vertical="center"/>
    </xf>
    <xf numFmtId="175" fontId="15" fillId="2" borderId="0" xfId="9" applyNumberFormat="1" applyFont="1" applyFill="1" applyBorder="1" applyAlignment="1">
      <alignment horizontal="left" vertical="center"/>
    </xf>
    <xf numFmtId="0" fontId="12" fillId="2" borderId="1" xfId="8" applyFont="1" applyFill="1" applyBorder="1"/>
    <xf numFmtId="0" fontId="12" fillId="2" borderId="1" xfId="8" applyFont="1" applyFill="1" applyBorder="1" applyAlignment="1">
      <alignment horizontal="left"/>
    </xf>
    <xf numFmtId="0" fontId="17" fillId="2" borderId="1" xfId="9" applyFont="1" applyFill="1" applyBorder="1" applyAlignment="1">
      <alignment horizontal="left" vertical="center"/>
    </xf>
    <xf numFmtId="165" fontId="12" fillId="2" borderId="0" xfId="1" applyFont="1" applyFill="1" applyBorder="1" applyAlignment="1">
      <alignment horizontal="left" vertical="center"/>
    </xf>
    <xf numFmtId="1" fontId="12" fillId="2" borderId="0" xfId="1" applyNumberFormat="1" applyFont="1" applyFill="1" applyBorder="1" applyAlignment="1">
      <alignment horizontal="left" vertical="center"/>
    </xf>
    <xf numFmtId="166" fontId="3" fillId="2" borderId="0" xfId="0" applyNumberFormat="1" applyFont="1" applyFill="1" applyAlignment="1" applyProtection="1">
      <alignment horizontal="center" vertical="center"/>
      <protection hidden="1"/>
    </xf>
    <xf numFmtId="166" fontId="12" fillId="2" borderId="0" xfId="8" applyNumberFormat="1" applyFont="1" applyFill="1" applyBorder="1"/>
    <xf numFmtId="165" fontId="2" fillId="0" borderId="0" xfId="1" applyFont="1" applyFill="1" applyBorder="1" applyAlignment="1" applyProtection="1">
      <alignment horizontal="center" vertical="center"/>
      <protection hidden="1"/>
    </xf>
    <xf numFmtId="43" fontId="12" fillId="2" borderId="0" xfId="8" applyNumberFormat="1" applyFont="1" applyFill="1" applyBorder="1"/>
    <xf numFmtId="167" fontId="18" fillId="0" borderId="0" xfId="1" applyNumberFormat="1" applyFont="1" applyBorder="1" applyAlignment="1" applyProtection="1">
      <alignment horizontal="left" vertical="center"/>
      <protection hidden="1"/>
    </xf>
    <xf numFmtId="0" fontId="12" fillId="2" borderId="0" xfId="10" applyFont="1" applyFill="1" applyBorder="1" applyAlignment="1">
      <alignment horizontal="left" vertical="center"/>
    </xf>
    <xf numFmtId="175" fontId="12" fillId="2" borderId="0" xfId="9" applyNumberFormat="1" applyFont="1" applyFill="1" applyBorder="1" applyAlignment="1">
      <alignment horizontal="left" vertical="center"/>
    </xf>
    <xf numFmtId="0" fontId="12" fillId="2" borderId="0" xfId="12" applyFont="1" applyFill="1" applyBorder="1" applyAlignment="1">
      <alignment horizontal="left" vertical="center"/>
    </xf>
    <xf numFmtId="4" fontId="12" fillId="2" borderId="0" xfId="12" applyNumberFormat="1" applyFont="1" applyFill="1" applyBorder="1" applyAlignment="1">
      <alignment horizontal="left" vertical="center"/>
    </xf>
    <xf numFmtId="15" fontId="12" fillId="2" borderId="0" xfId="12" applyNumberFormat="1" applyFont="1" applyFill="1" applyBorder="1" applyAlignment="1">
      <alignment horizontal="left" vertical="center"/>
    </xf>
    <xf numFmtId="2" fontId="12" fillId="2" borderId="0" xfId="12" applyNumberFormat="1" applyFont="1" applyFill="1" applyBorder="1" applyAlignment="1">
      <alignment horizontal="left" vertical="center"/>
    </xf>
    <xf numFmtId="164" fontId="12" fillId="2" borderId="0" xfId="12" applyNumberFormat="1" applyFont="1" applyFill="1" applyBorder="1" applyAlignment="1">
      <alignment horizontal="left" vertical="center"/>
    </xf>
    <xf numFmtId="164" fontId="12" fillId="2" borderId="0" xfId="13" applyFont="1" applyFill="1" applyBorder="1" applyAlignment="1" applyProtection="1">
      <alignment horizontal="left" vertical="center"/>
    </xf>
    <xf numFmtId="167" fontId="12" fillId="2" borderId="0" xfId="3" applyNumberFormat="1" applyFont="1" applyFill="1" applyBorder="1" applyAlignment="1">
      <alignment horizontal="left" vertical="center"/>
    </xf>
    <xf numFmtId="15" fontId="15" fillId="2" borderId="0" xfId="9" applyNumberFormat="1" applyFont="1" applyFill="1" applyBorder="1" applyAlignment="1">
      <alignment horizontal="left" vertical="center"/>
    </xf>
    <xf numFmtId="15" fontId="14" fillId="2" borderId="1" xfId="12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horizontal="left" vertical="center"/>
    </xf>
    <xf numFmtId="169" fontId="14" fillId="2" borderId="1" xfId="12" applyNumberFormat="1" applyFont="1" applyFill="1" applyBorder="1" applyAlignment="1">
      <alignment horizontal="left" vertical="center"/>
    </xf>
    <xf numFmtId="0" fontId="17" fillId="2" borderId="1" xfId="12" applyFont="1" applyFill="1" applyBorder="1" applyAlignment="1">
      <alignment horizontal="left" vertical="center"/>
    </xf>
    <xf numFmtId="4" fontId="17" fillId="2" borderId="1" xfId="12" applyNumberFormat="1" applyFont="1" applyFill="1" applyBorder="1" applyAlignment="1">
      <alignment horizontal="left" vertical="center"/>
    </xf>
    <xf numFmtId="0" fontId="17" fillId="2" borderId="1" xfId="8" applyFont="1" applyFill="1" applyBorder="1" applyAlignment="1">
      <alignment horizontal="left"/>
    </xf>
    <xf numFmtId="15" fontId="15" fillId="2" borderId="0" xfId="12" applyNumberFormat="1" applyFont="1" applyFill="1" applyBorder="1" applyAlignment="1">
      <alignment horizontal="left" vertical="center"/>
    </xf>
    <xf numFmtId="0" fontId="12" fillId="2" borderId="2" xfId="8" applyFont="1" applyFill="1" applyBorder="1" applyAlignment="1">
      <alignment horizontal="left"/>
    </xf>
    <xf numFmtId="15" fontId="16" fillId="2" borderId="0" xfId="9" applyNumberFormat="1" applyFont="1" applyFill="1" applyBorder="1" applyAlignment="1">
      <alignment horizontal="left" vertical="center"/>
    </xf>
    <xf numFmtId="0" fontId="17" fillId="2" borderId="3" xfId="9" applyFont="1" applyFill="1" applyBorder="1" applyAlignment="1">
      <alignment horizontal="left" vertical="center"/>
    </xf>
    <xf numFmtId="0" fontId="17" fillId="2" borderId="1" xfId="10" applyFont="1" applyFill="1" applyBorder="1" applyAlignment="1">
      <alignment horizontal="left" vertical="center" wrapText="1"/>
    </xf>
    <xf numFmtId="175" fontId="12" fillId="2" borderId="2" xfId="9" applyNumberFormat="1" applyFont="1" applyFill="1" applyBorder="1" applyAlignment="1">
      <alignment horizontal="left" vertical="center"/>
    </xf>
    <xf numFmtId="4" fontId="16" fillId="2" borderId="0" xfId="9" applyNumberFormat="1" applyFont="1" applyFill="1" applyBorder="1" applyAlignment="1">
      <alignment horizontal="left" vertical="center"/>
    </xf>
    <xf numFmtId="168" fontId="12" fillId="2" borderId="2" xfId="1" applyNumberFormat="1" applyFont="1" applyFill="1" applyBorder="1" applyAlignment="1">
      <alignment horizontal="left" vertical="center"/>
    </xf>
    <xf numFmtId="2" fontId="12" fillId="2" borderId="0" xfId="8" applyNumberFormat="1" applyFont="1" applyFill="1" applyBorder="1" applyAlignment="1">
      <alignment horizontal="left"/>
    </xf>
    <xf numFmtId="1" fontId="16" fillId="2" borderId="0" xfId="1" applyNumberFormat="1" applyFont="1" applyFill="1" applyBorder="1" applyAlignment="1">
      <alignment horizontal="left" vertical="center"/>
    </xf>
    <xf numFmtId="168" fontId="12" fillId="2" borderId="3" xfId="1" applyNumberFormat="1" applyFont="1" applyFill="1" applyBorder="1" applyAlignment="1">
      <alignment horizontal="left" vertical="center"/>
    </xf>
    <xf numFmtId="0" fontId="19" fillId="0" borderId="0" xfId="0" applyFont="1"/>
    <xf numFmtId="171" fontId="14" fillId="2" borderId="0" xfId="0" applyNumberFormat="1" applyFont="1" applyFill="1" applyAlignment="1">
      <alignment horizontal="left"/>
    </xf>
    <xf numFmtId="171" fontId="5" fillId="2" borderId="0" xfId="0" applyNumberFormat="1" applyFont="1" applyFill="1"/>
    <xf numFmtId="0" fontId="20" fillId="0" borderId="0" xfId="0" applyFont="1"/>
    <xf numFmtId="10" fontId="12" fillId="2" borderId="0" xfId="2" applyNumberFormat="1" applyFont="1" applyFill="1" applyBorder="1" applyAlignment="1">
      <alignment horizontal="left"/>
    </xf>
    <xf numFmtId="176" fontId="13" fillId="2" borderId="0" xfId="2" applyNumberFormat="1" applyFont="1" applyFill="1" applyBorder="1"/>
    <xf numFmtId="10" fontId="5" fillId="2" borderId="0" xfId="0" applyNumberFormat="1" applyFont="1" applyFill="1" applyBorder="1"/>
    <xf numFmtId="10" fontId="13" fillId="2" borderId="0" xfId="0" applyNumberFormat="1" applyFont="1" applyFill="1" applyBorder="1"/>
    <xf numFmtId="9" fontId="8" fillId="2" borderId="0" xfId="2" applyFont="1" applyFill="1" applyBorder="1" applyAlignment="1" applyProtection="1">
      <alignment horizontal="center" vertical="center"/>
      <protection hidden="1"/>
    </xf>
    <xf numFmtId="170" fontId="8" fillId="2" borderId="0" xfId="1" applyNumberFormat="1" applyFont="1" applyFill="1" applyBorder="1" applyAlignment="1" applyProtection="1">
      <alignment horizontal="center" vertical="center"/>
      <protection hidden="1"/>
    </xf>
    <xf numFmtId="4" fontId="15" fillId="2" borderId="0" xfId="9" applyNumberFormat="1" applyFont="1" applyFill="1" applyBorder="1" applyAlignment="1">
      <alignment horizontal="left" vertical="center"/>
    </xf>
    <xf numFmtId="177" fontId="5" fillId="2" borderId="0" xfId="2" applyNumberFormat="1" applyFont="1" applyFill="1" applyBorder="1"/>
    <xf numFmtId="10" fontId="17" fillId="2" borderId="0" xfId="2" applyNumberFormat="1" applyFont="1" applyFill="1" applyBorder="1" applyAlignment="1">
      <alignment horizontal="left" vertical="center"/>
    </xf>
    <xf numFmtId="0" fontId="12" fillId="2" borderId="2" xfId="10" applyFont="1" applyFill="1" applyBorder="1" applyAlignment="1">
      <alignment horizontal="left" vertical="center"/>
    </xf>
    <xf numFmtId="0" fontId="12" fillId="2" borderId="3" xfId="8" applyFont="1" applyFill="1" applyBorder="1" applyAlignment="1">
      <alignment horizontal="left"/>
    </xf>
    <xf numFmtId="177" fontId="10" fillId="7" borderId="0" xfId="2" applyNumberFormat="1" applyFont="1" applyFill="1" applyBorder="1" applyAlignment="1" applyProtection="1">
      <alignment horizontal="left" vertical="center"/>
      <protection hidden="1"/>
    </xf>
    <xf numFmtId="4" fontId="12" fillId="2" borderId="2" xfId="12" applyNumberFormat="1" applyFont="1" applyFill="1" applyBorder="1" applyAlignment="1">
      <alignment horizontal="center" vertical="center"/>
    </xf>
    <xf numFmtId="0" fontId="12" fillId="2" borderId="0" xfId="10" applyFont="1" applyFill="1" applyBorder="1" applyAlignment="1">
      <alignment horizontal="center" vertical="center"/>
    </xf>
    <xf numFmtId="169" fontId="14" fillId="2" borderId="1" xfId="12" applyNumberFormat="1" applyFont="1" applyFill="1" applyBorder="1" applyAlignment="1">
      <alignment horizontal="center" vertical="center"/>
    </xf>
    <xf numFmtId="4" fontId="12" fillId="2" borderId="0" xfId="12" applyNumberFormat="1" applyFont="1" applyFill="1" applyBorder="1" applyAlignment="1">
      <alignment horizontal="center" vertical="center"/>
    </xf>
    <xf numFmtId="0" fontId="12" fillId="2" borderId="0" xfId="8" applyFont="1" applyFill="1" applyBorder="1" applyAlignment="1">
      <alignment horizontal="center"/>
    </xf>
    <xf numFmtId="0" fontId="12" fillId="2" borderId="1" xfId="8" applyFont="1" applyFill="1" applyBorder="1" applyAlignment="1">
      <alignment horizontal="center"/>
    </xf>
    <xf numFmtId="169" fontId="14" fillId="2" borderId="3" xfId="12" applyNumberFormat="1" applyFont="1" applyFill="1" applyBorder="1" applyAlignment="1">
      <alignment horizontal="left" vertical="center" wrapText="1"/>
    </xf>
    <xf numFmtId="2" fontId="12" fillId="2" borderId="2" xfId="13" applyNumberFormat="1" applyFont="1" applyFill="1" applyBorder="1" applyAlignment="1" applyProtection="1">
      <alignment horizontal="left" vertical="center"/>
    </xf>
    <xf numFmtId="0" fontId="12" fillId="2" borderId="2" xfId="10" applyFont="1" applyFill="1" applyBorder="1" applyAlignment="1">
      <alignment horizontal="center" vertical="center"/>
    </xf>
    <xf numFmtId="169" fontId="14" fillId="2" borderId="3" xfId="12" applyNumberFormat="1" applyFont="1" applyFill="1" applyBorder="1" applyAlignment="1">
      <alignment horizontal="center" vertical="center"/>
    </xf>
    <xf numFmtId="0" fontId="12" fillId="2" borderId="2" xfId="8" applyFont="1" applyFill="1" applyBorder="1" applyAlignment="1">
      <alignment horizontal="center"/>
    </xf>
    <xf numFmtId="0" fontId="12" fillId="2" borderId="3" xfId="8" applyFont="1" applyFill="1" applyBorder="1" applyAlignment="1">
      <alignment horizontal="center"/>
    </xf>
    <xf numFmtId="4" fontId="12" fillId="6" borderId="0" xfId="12" applyNumberFormat="1" applyFont="1" applyFill="1" applyBorder="1" applyAlignment="1">
      <alignment horizontal="center" vertical="center"/>
    </xf>
    <xf numFmtId="4" fontId="12" fillId="2" borderId="2" xfId="12" applyNumberFormat="1" applyFont="1" applyFill="1" applyBorder="1" applyAlignment="1">
      <alignment vertical="center"/>
    </xf>
    <xf numFmtId="2" fontId="12" fillId="2" borderId="2" xfId="13" applyNumberFormat="1" applyFont="1" applyFill="1" applyBorder="1" applyAlignment="1" applyProtection="1">
      <alignment horizontal="right" vertical="center"/>
    </xf>
    <xf numFmtId="10" fontId="10" fillId="7" borderId="0" xfId="0" applyNumberFormat="1" applyFont="1" applyFill="1" applyBorder="1" applyAlignment="1" applyProtection="1">
      <alignment horizontal="left" vertical="center"/>
      <protection hidden="1"/>
    </xf>
    <xf numFmtId="10" fontId="10" fillId="7" borderId="0" xfId="0" applyNumberFormat="1" applyFont="1" applyFill="1" applyBorder="1" applyAlignment="1" applyProtection="1">
      <alignment horizontal="center" vertical="center"/>
      <protection hidden="1"/>
    </xf>
    <xf numFmtId="177" fontId="6" fillId="8" borderId="0" xfId="2" applyNumberFormat="1" applyFont="1" applyFill="1" applyBorder="1" applyAlignment="1" applyProtection="1">
      <alignment horizontal="left" vertical="center"/>
      <protection hidden="1"/>
    </xf>
    <xf numFmtId="10" fontId="6" fillId="8" borderId="0" xfId="2" applyNumberFormat="1" applyFont="1" applyFill="1" applyBorder="1" applyAlignment="1" applyProtection="1">
      <alignment horizontal="center"/>
      <protection locked="0"/>
    </xf>
    <xf numFmtId="0" fontId="6" fillId="8" borderId="0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Border="1" applyAlignment="1" applyProtection="1">
      <alignment horizontal="left" vertical="center"/>
      <protection hidden="1"/>
    </xf>
    <xf numFmtId="10" fontId="12" fillId="2" borderId="0" xfId="11" applyNumberFormat="1" applyFont="1" applyFill="1" applyBorder="1" applyAlignment="1">
      <alignment horizontal="center" vertical="center"/>
    </xf>
    <xf numFmtId="10" fontId="10" fillId="7" borderId="0" xfId="0" applyNumberFormat="1" applyFont="1" applyFill="1" applyBorder="1" applyAlignment="1">
      <alignment horizontal="center"/>
    </xf>
    <xf numFmtId="10" fontId="10" fillId="2" borderId="0" xfId="0" applyNumberFormat="1" applyFont="1" applyFill="1" applyBorder="1" applyAlignment="1" applyProtection="1">
      <alignment horizontal="left" vertical="center"/>
      <protection hidden="1"/>
    </xf>
    <xf numFmtId="0" fontId="12" fillId="2" borderId="2" xfId="7" applyFont="1" applyFill="1" applyBorder="1" applyAlignment="1">
      <alignment horizontal="center" vertical="center"/>
    </xf>
    <xf numFmtId="2" fontId="12" fillId="2" borderId="2" xfId="7" applyNumberFormat="1" applyFont="1" applyFill="1" applyBorder="1" applyAlignment="1">
      <alignment horizontal="center" vertical="center"/>
    </xf>
    <xf numFmtId="171" fontId="5" fillId="6" borderId="0" xfId="0" applyNumberFormat="1" applyFont="1" applyFill="1"/>
    <xf numFmtId="0" fontId="5" fillId="6" borderId="0" xfId="0" applyFont="1" applyFill="1"/>
    <xf numFmtId="170" fontId="6" fillId="8" borderId="0" xfId="1" applyNumberFormat="1" applyFont="1" applyFill="1" applyBorder="1" applyAlignment="1" applyProtection="1">
      <alignment horizontal="center"/>
      <protection locked="0"/>
    </xf>
    <xf numFmtId="170" fontId="10" fillId="7" borderId="0" xfId="1" applyNumberFormat="1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left" vertical="center"/>
      <protection hidden="1"/>
    </xf>
    <xf numFmtId="9" fontId="8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169" fontId="5" fillId="2" borderId="0" xfId="0" applyNumberFormat="1" applyFont="1" applyFill="1" applyBorder="1"/>
    <xf numFmtId="10" fontId="8" fillId="2" borderId="0" xfId="0" applyNumberFormat="1" applyFont="1" applyFill="1" applyBorder="1" applyAlignment="1" applyProtection="1">
      <alignment horizontal="center" vertical="center"/>
      <protection hidden="1"/>
    </xf>
    <xf numFmtId="174" fontId="8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5" borderId="0" xfId="0" applyFont="1" applyFill="1" applyBorder="1" applyAlignment="1">
      <alignment horizontal="left" wrapText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17" fillId="2" borderId="1" xfId="9" applyFont="1" applyFill="1" applyBorder="1" applyAlignment="1">
      <alignment horizontal="left" vertical="center"/>
    </xf>
  </cellXfs>
  <cellStyles count="14">
    <cellStyle name="Cambiar to&amp;do" xfId="6" xr:uid="{D0DA5490-0949-4013-A118-B675965C515D}"/>
    <cellStyle name="Cambiar to&amp;do 2" xfId="10" xr:uid="{01D2AD00-78FB-4B11-84F2-9F283BFFA402}"/>
    <cellStyle name="Millares" xfId="1" builtinId="3"/>
    <cellStyle name="Millares 16" xfId="13" xr:uid="{84169B2E-DB57-475C-9729-DCD37718B643}"/>
    <cellStyle name="Millares 2" xfId="3" xr:uid="{00000000-0005-0000-0000-000001000000}"/>
    <cellStyle name="Millares 2 2" xfId="4" xr:uid="{00000000-0005-0000-0000-000002000000}"/>
    <cellStyle name="Normal" xfId="0" builtinId="0"/>
    <cellStyle name="Normal 2" xfId="5" xr:uid="{00000000-0005-0000-0000-000004000000}"/>
    <cellStyle name="Normal 3" xfId="8" xr:uid="{CE78605F-ABB2-4C01-95CC-B00CB9BE0993}"/>
    <cellStyle name="Normal 5" xfId="12" xr:uid="{C19A184D-AA96-4200-98D5-D17D90204D01}"/>
    <cellStyle name="Normal_Excel Bloomberg (Títulos y ONs Bancos) NOBACS" xfId="7" xr:uid="{7BDE2B5A-4706-49B6-A2FF-1F7CD85421A6}"/>
    <cellStyle name="Normal_Excel Bloomberg (Títulos y ONs Bancos) NOBACS 2" xfId="9" xr:uid="{9DA4EFC6-764D-40A0-85F3-264A8DCC559D}"/>
    <cellStyle name="Porcentaje" xfId="2" builtinId="5"/>
    <cellStyle name="Porcentaje 2" xfId="11" xr:uid="{4C93F05F-1D98-4097-892E-7AC3D56253C3}"/>
  </cellStyles>
  <dxfs count="0"/>
  <tableStyles count="0" defaultTableStyle="TableStyleMedium9" defaultPivotStyle="PivotStyleLight16"/>
  <colors>
    <mruColors>
      <color rgb="FFA8C227"/>
      <color rgb="FFE1EDA5"/>
      <color rgb="FF003399"/>
      <color rgb="FFFF6600"/>
      <color rgb="FF006600"/>
      <color rgb="FF025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tabSelected="1" zoomScale="110" zoomScaleNormal="110" workbookViewId="0">
      <selection activeCell="G22" sqref="G22"/>
    </sheetView>
  </sheetViews>
  <sheetFormatPr baseColWidth="10" defaultColWidth="11.42578125" defaultRowHeight="12" x14ac:dyDescent="0.2"/>
  <cols>
    <col min="1" max="1" width="2.42578125" style="1" customWidth="1"/>
    <col min="2" max="2" width="20.7109375" style="1" customWidth="1"/>
    <col min="3" max="3" width="19.140625" style="1" customWidth="1"/>
    <col min="4" max="4" width="17.85546875" style="1" bestFit="1" customWidth="1"/>
    <col min="5" max="5" width="6" style="1" customWidth="1"/>
    <col min="6" max="6" width="19.85546875" style="1" customWidth="1"/>
    <col min="7" max="7" width="16.28515625" style="1" customWidth="1"/>
    <col min="8" max="8" width="5.140625" style="1" customWidth="1"/>
    <col min="9" max="16384" width="11.42578125" style="1"/>
  </cols>
  <sheetData>
    <row r="1" spans="3:12" ht="6" customHeight="1" x14ac:dyDescent="0.2"/>
    <row r="2" spans="3:12" x14ac:dyDescent="0.2">
      <c r="C2" s="131" t="s">
        <v>43</v>
      </c>
      <c r="D2" s="131"/>
      <c r="F2" s="131" t="s">
        <v>44</v>
      </c>
      <c r="G2" s="131"/>
    </row>
    <row r="3" spans="3:12" ht="6.75" customHeight="1" x14ac:dyDescent="0.2">
      <c r="C3" s="22"/>
      <c r="D3" s="2"/>
      <c r="F3" s="22"/>
      <c r="G3" s="2"/>
    </row>
    <row r="4" spans="3:12" x14ac:dyDescent="0.2">
      <c r="C4" s="20" t="s">
        <v>31</v>
      </c>
      <c r="D4" s="19">
        <v>44426</v>
      </c>
      <c r="F4" s="20" t="str">
        <f>C4</f>
        <v>Reapertura</v>
      </c>
      <c r="G4" s="19">
        <f>D4</f>
        <v>44426</v>
      </c>
      <c r="H4" s="4"/>
    </row>
    <row r="5" spans="3:12" x14ac:dyDescent="0.2">
      <c r="C5" s="20" t="s">
        <v>9</v>
      </c>
      <c r="D5" s="19">
        <v>44351</v>
      </c>
      <c r="F5" s="20" t="str">
        <f>C5</f>
        <v>Fecha de Emisión</v>
      </c>
      <c r="G5" s="19">
        <v>44351</v>
      </c>
      <c r="H5" s="4"/>
    </row>
    <row r="6" spans="3:12" ht="12.75" x14ac:dyDescent="0.2">
      <c r="C6" s="21" t="s">
        <v>10</v>
      </c>
      <c r="D6" s="19">
        <v>45081</v>
      </c>
      <c r="F6" s="20" t="s">
        <v>10</v>
      </c>
      <c r="G6" s="19">
        <v>45447</v>
      </c>
      <c r="H6" s="4"/>
      <c r="I6" s="78"/>
    </row>
    <row r="7" spans="3:12" ht="5.25" customHeight="1" x14ac:dyDescent="0.2">
      <c r="C7" s="21"/>
      <c r="D7" s="3"/>
      <c r="F7" s="20"/>
      <c r="G7" s="3"/>
      <c r="H7" s="4"/>
    </row>
    <row r="8" spans="3:12" ht="14.25" customHeight="1" x14ac:dyDescent="0.2">
      <c r="C8" s="21" t="s">
        <v>32</v>
      </c>
      <c r="D8" s="86">
        <v>0.04</v>
      </c>
      <c r="F8" s="20" t="str">
        <f>C8</f>
        <v>Cupón</v>
      </c>
      <c r="G8" s="86">
        <v>0.04</v>
      </c>
      <c r="H8" s="4"/>
    </row>
    <row r="9" spans="3:12" x14ac:dyDescent="0.2">
      <c r="C9" s="21" t="s">
        <v>21</v>
      </c>
      <c r="D9" s="6" t="s">
        <v>17</v>
      </c>
      <c r="F9" s="21" t="str">
        <f>C9</f>
        <v>Frecuencia</v>
      </c>
      <c r="G9" s="6" t="s">
        <v>17</v>
      </c>
    </row>
    <row r="10" spans="3:12" x14ac:dyDescent="0.2">
      <c r="C10" s="124" t="s">
        <v>35</v>
      </c>
      <c r="D10" s="128" t="s">
        <v>36</v>
      </c>
      <c r="F10" s="21" t="s">
        <v>0</v>
      </c>
      <c r="G10" s="27" t="s">
        <v>36</v>
      </c>
      <c r="I10" s="81"/>
      <c r="K10" s="126"/>
    </row>
    <row r="11" spans="3:12" x14ac:dyDescent="0.2">
      <c r="C11" s="124" t="s">
        <v>30</v>
      </c>
      <c r="D11" s="129">
        <v>97.027199999999993</v>
      </c>
      <c r="F11" s="21" t="s">
        <v>14</v>
      </c>
      <c r="G11" s="87">
        <v>84.76</v>
      </c>
      <c r="K11" s="127"/>
    </row>
    <row r="12" spans="3:12" ht="11.25" customHeight="1" x14ac:dyDescent="0.2">
      <c r="C12" s="124" t="s">
        <v>16</v>
      </c>
      <c r="D12" s="125" t="s">
        <v>45</v>
      </c>
      <c r="E12" s="23"/>
      <c r="F12" s="124" t="str">
        <f>C12</f>
        <v>Calificación</v>
      </c>
      <c r="G12" s="14" t="str">
        <f>D12</f>
        <v>A+ (Fix)</v>
      </c>
    </row>
    <row r="13" spans="3:12" x14ac:dyDescent="0.2">
      <c r="C13" s="21"/>
      <c r="D13" s="6"/>
      <c r="F13" s="21"/>
      <c r="G13" s="6"/>
    </row>
    <row r="14" spans="3:12" x14ac:dyDescent="0.2">
      <c r="C14" s="21" t="s">
        <v>11</v>
      </c>
      <c r="D14" s="5">
        <f>'Clase 1 DL'!C13</f>
        <v>1.7945205479452055</v>
      </c>
      <c r="F14" s="21" t="s">
        <v>11</v>
      </c>
      <c r="G14" s="5">
        <f>'Clase 2 UVA'!C13</f>
        <v>2.7972602739726029</v>
      </c>
    </row>
    <row r="15" spans="3:12" ht="12.75" customHeight="1" x14ac:dyDescent="0.2">
      <c r="C15" s="21" t="s">
        <v>12</v>
      </c>
      <c r="D15" s="13">
        <f>'Clase 1 DL'!C12</f>
        <v>1.7281969403752688</v>
      </c>
      <c r="F15" s="21" t="s">
        <v>12</v>
      </c>
      <c r="G15" s="5">
        <f>'Clase 2 UVA'!C12</f>
        <v>2.646152829249155</v>
      </c>
      <c r="L15" s="17"/>
    </row>
    <row r="16" spans="3:12" ht="9" customHeight="1" x14ac:dyDescent="0.2">
      <c r="C16" s="7"/>
    </row>
    <row r="17" spans="3:12" ht="12" hidden="1" customHeight="1" x14ac:dyDescent="0.2">
      <c r="C17" s="8" t="s">
        <v>6</v>
      </c>
      <c r="D17" s="9">
        <v>1000000</v>
      </c>
      <c r="F17" s="10" t="s">
        <v>6</v>
      </c>
      <c r="G17" s="9">
        <v>1000000</v>
      </c>
    </row>
    <row r="18" spans="3:12" x14ac:dyDescent="0.2">
      <c r="C18" s="113" t="s">
        <v>33</v>
      </c>
      <c r="D18" s="122">
        <v>1.0168999999999999</v>
      </c>
      <c r="E18" s="89"/>
      <c r="F18" s="111" t="s">
        <v>37</v>
      </c>
      <c r="G18" s="122">
        <v>1.0147999999999999</v>
      </c>
      <c r="H18" s="83"/>
    </row>
    <row r="19" spans="3:12" hidden="1" x14ac:dyDescent="0.2">
      <c r="C19" s="24"/>
      <c r="D19" s="24"/>
      <c r="F19" s="10"/>
      <c r="G19" s="11"/>
      <c r="H19" s="15"/>
    </row>
    <row r="20" spans="3:12" x14ac:dyDescent="0.2">
      <c r="C20" s="114" t="s">
        <v>15</v>
      </c>
      <c r="D20" s="110">
        <f>'Clase 1 DL'!C9</f>
        <v>3.4982255503611372E-2</v>
      </c>
      <c r="E20" s="84"/>
      <c r="F20" s="109" t="s">
        <v>15</v>
      </c>
      <c r="G20" s="110">
        <f>'Clase 2 UVA'!C10</f>
        <v>3.7505647048115688E-2</v>
      </c>
      <c r="H20" s="85"/>
    </row>
    <row r="21" spans="3:12" x14ac:dyDescent="0.2">
      <c r="C21" s="114" t="s">
        <v>4</v>
      </c>
      <c r="D21" s="110">
        <f>'Clase 1 DL'!C8</f>
        <v>3.5445991158485415E-2</v>
      </c>
      <c r="E21" s="84"/>
      <c r="F21" s="109" t="s">
        <v>42</v>
      </c>
      <c r="G21" s="116">
        <f>'Clase 2 UVA'!C9</f>
        <v>3.8038924336433411E-2</v>
      </c>
      <c r="H21" s="84"/>
      <c r="L21" s="16"/>
    </row>
    <row r="22" spans="3:12" x14ac:dyDescent="0.2">
      <c r="C22" s="111" t="s">
        <v>38</v>
      </c>
      <c r="D22" s="112">
        <v>3.5000000000000003E-2</v>
      </c>
      <c r="F22" s="111" t="s">
        <v>38</v>
      </c>
      <c r="G22" s="112">
        <v>3.7499999999999999E-2</v>
      </c>
    </row>
    <row r="23" spans="3:12" x14ac:dyDescent="0.2">
      <c r="C23" s="93" t="s">
        <v>3</v>
      </c>
      <c r="D23" s="123">
        <f>'Clase 1 DL'!K3/100</f>
        <v>1.0168691002260657</v>
      </c>
      <c r="F23" s="93" t="s">
        <v>39</v>
      </c>
      <c r="G23" s="123">
        <f>TRUNC('Clase 2 UVA'!M3/G11/100,5)</f>
        <v>1.01481</v>
      </c>
    </row>
    <row r="24" spans="3:12" ht="9" customHeight="1" x14ac:dyDescent="0.2">
      <c r="C24" s="23"/>
    </row>
    <row r="25" spans="3:12" hidden="1" x14ac:dyDescent="0.2"/>
    <row r="26" spans="3:12" hidden="1" x14ac:dyDescent="0.2"/>
    <row r="27" spans="3:12" ht="8.25" hidden="1" customHeight="1" x14ac:dyDescent="0.2"/>
    <row r="28" spans="3:12" hidden="1" x14ac:dyDescent="0.2"/>
    <row r="29" spans="3:12" hidden="1" x14ac:dyDescent="0.2"/>
    <row r="30" spans="3:12" hidden="1" x14ac:dyDescent="0.2"/>
    <row r="31" spans="3:12" ht="9" hidden="1" customHeight="1" x14ac:dyDescent="0.2"/>
    <row r="32" spans="3:12" hidden="1" x14ac:dyDescent="0.2"/>
    <row r="33" spans="2:8" ht="14.1" hidden="1" customHeight="1" x14ac:dyDescent="0.2"/>
    <row r="34" spans="2:8" ht="6" customHeight="1" x14ac:dyDescent="0.2"/>
    <row r="35" spans="2:8" ht="7.5" customHeight="1" x14ac:dyDescent="0.2">
      <c r="C35" s="130" t="s">
        <v>7</v>
      </c>
      <c r="D35" s="130"/>
      <c r="E35" s="130"/>
      <c r="F35" s="130"/>
      <c r="G35" s="130"/>
      <c r="H35" s="130"/>
    </row>
    <row r="36" spans="2:8" ht="7.5" customHeight="1" x14ac:dyDescent="0.2">
      <c r="B36" s="26"/>
      <c r="C36" s="130"/>
      <c r="D36" s="130"/>
      <c r="E36" s="130"/>
      <c r="F36" s="130"/>
      <c r="G36" s="130"/>
      <c r="H36" s="130"/>
    </row>
    <row r="37" spans="2:8" ht="42" customHeight="1" x14ac:dyDescent="0.2">
      <c r="B37" s="26"/>
      <c r="C37" s="130"/>
      <c r="D37" s="130"/>
      <c r="E37" s="130"/>
      <c r="F37" s="130"/>
      <c r="G37" s="130"/>
      <c r="H37" s="130"/>
    </row>
  </sheetData>
  <sheetProtection algorithmName="SHA-512" hashValue="qEdjUoKSmusvnUfkoinnBaVpmSWKhAVio0GcBfTFkUVGl8xG/ppWQ02aeRkgmrisZMtWMOIbrr/IGIwyYFB0vw==" saltValue="CDIBiclcm5bAjpo1MdoEfg==" spinCount="100000" sheet="1" selectLockedCells="1"/>
  <mergeCells count="3">
    <mergeCell ref="C35:H37"/>
    <mergeCell ref="F2:G2"/>
    <mergeCell ref="C2:D2"/>
  </mergeCells>
  <pageMargins left="0.7" right="0.7" top="0.75" bottom="0.75" header="0.3" footer="0.3"/>
  <pageSetup paperSize="9" orientation="portrait" r:id="rId1"/>
  <ignoredErrors>
    <ignoredError sqref="D23 G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B219-3BE4-4E68-9C03-5115752DDE4C}">
  <dimension ref="A1:N26"/>
  <sheetViews>
    <sheetView workbookViewId="0">
      <selection activeCell="C10" sqref="C10"/>
    </sheetView>
  </sheetViews>
  <sheetFormatPr baseColWidth="10" defaultColWidth="14.7109375" defaultRowHeight="12" x14ac:dyDescent="0.2"/>
  <cols>
    <col min="1" max="2" width="14.7109375" style="30"/>
    <col min="3" max="3" width="9.5703125" style="30" customWidth="1"/>
    <col min="4" max="4" width="3.42578125" style="68" customWidth="1"/>
    <col min="5" max="5" width="9.5703125" style="36" customWidth="1"/>
    <col min="6" max="6" width="5.140625" style="36" customWidth="1"/>
    <col min="7" max="7" width="7.7109375" style="36" customWidth="1"/>
    <col min="8" max="8" width="10.28515625" style="36" customWidth="1"/>
    <col min="9" max="9" width="7.42578125" style="36" customWidth="1"/>
    <col min="10" max="10" width="7.7109375" style="36" customWidth="1"/>
    <col min="11" max="11" width="11.85546875" style="104" customWidth="1"/>
    <col min="12" max="16384" width="14.7109375" style="30"/>
  </cols>
  <sheetData>
    <row r="1" spans="1:14" ht="6.75" customHeight="1" x14ac:dyDescent="0.2"/>
    <row r="2" spans="1:14" x14ac:dyDescent="0.2">
      <c r="A2" s="132" t="str">
        <f>'CT Barragan'!C2</f>
        <v>ON CLASE 1 - Dólar Linked (REAPERTURA)</v>
      </c>
      <c r="B2" s="132"/>
      <c r="C2" s="132"/>
      <c r="D2" s="70" t="s">
        <v>26</v>
      </c>
      <c r="E2" s="43" t="s">
        <v>27</v>
      </c>
      <c r="F2" s="43" t="s">
        <v>29</v>
      </c>
      <c r="G2" s="43" t="s">
        <v>8</v>
      </c>
      <c r="H2" s="43" t="s">
        <v>0</v>
      </c>
      <c r="I2" s="43" t="s">
        <v>1</v>
      </c>
      <c r="J2" s="71" t="s">
        <v>2</v>
      </c>
      <c r="K2" s="118"/>
    </row>
    <row r="3" spans="1:14" x14ac:dyDescent="0.2">
      <c r="A3" s="40" t="s">
        <v>3</v>
      </c>
      <c r="B3" s="40"/>
      <c r="C3" s="40">
        <f>'CT Barragan'!D18*100</f>
        <v>101.69</v>
      </c>
      <c r="D3" s="72"/>
      <c r="E3" s="69">
        <f>'CT Barragan'!D4</f>
        <v>44426</v>
      </c>
      <c r="F3" s="69"/>
      <c r="G3" s="69"/>
      <c r="H3" s="39"/>
      <c r="I3" s="39"/>
      <c r="J3" s="73">
        <f>-C3</f>
        <v>-101.69</v>
      </c>
      <c r="K3" s="119">
        <f>SUM(K5:K12)</f>
        <v>101.68691002260657</v>
      </c>
    </row>
    <row r="4" spans="1:14" ht="12.75" x14ac:dyDescent="0.2">
      <c r="A4" s="31" t="s">
        <v>9</v>
      </c>
      <c r="B4" s="31"/>
      <c r="C4" s="32">
        <f>'CT Barragan'!D5</f>
        <v>44351</v>
      </c>
      <c r="D4" s="74">
        <v>0</v>
      </c>
      <c r="E4" s="32">
        <v>44351</v>
      </c>
      <c r="F4" s="45"/>
      <c r="G4" s="28"/>
      <c r="H4" s="35"/>
      <c r="I4" s="35"/>
      <c r="J4" s="35"/>
      <c r="K4" s="119"/>
      <c r="L4" s="48">
        <f>(SUM(L5:L24))/100</f>
        <v>1.0443570680591034</v>
      </c>
      <c r="M4" s="49"/>
    </row>
    <row r="5" spans="1:14" ht="12.75" x14ac:dyDescent="0.2">
      <c r="A5" s="31" t="s">
        <v>10</v>
      </c>
      <c r="B5" s="31"/>
      <c r="C5" s="32">
        <f>+EDATE(C4,36)</f>
        <v>45447</v>
      </c>
      <c r="D5" s="74">
        <f>D4+1</f>
        <v>1</v>
      </c>
      <c r="E5" s="32">
        <v>44443</v>
      </c>
      <c r="F5" s="45">
        <f>E5-$E$3</f>
        <v>17</v>
      </c>
      <c r="G5" s="28">
        <f>$C$6</f>
        <v>0.04</v>
      </c>
      <c r="H5" s="35">
        <v>0</v>
      </c>
      <c r="I5" s="29">
        <f>+YEARFRAC(E4,E5,3)*(G5)*100</f>
        <v>1.0082191780821919</v>
      </c>
      <c r="J5" s="75">
        <f>H5+I5</f>
        <v>1.0082191780821919</v>
      </c>
      <c r="K5" s="94">
        <f>+J5/(((1+'CT Barragan'!$D$22*90/365)^(365/90))^(('Clase 1 DL'!E5-'Clase 1 DL'!$E$3)/365))</f>
        <v>1.0065840215420745</v>
      </c>
      <c r="L5" s="46">
        <f>+J5/((1+$C$8)^(F5/$F$12))</f>
        <v>1.0073081165194251</v>
      </c>
      <c r="M5" s="49">
        <f t="shared" ref="M5:M7" si="0">L5/100</f>
        <v>1.0073081165194252E-2</v>
      </c>
      <c r="N5" s="47"/>
    </row>
    <row r="6" spans="1:14" ht="12.75" x14ac:dyDescent="0.2">
      <c r="A6" s="31" t="s">
        <v>34</v>
      </c>
      <c r="B6" s="31"/>
      <c r="C6" s="33">
        <v>0.04</v>
      </c>
      <c r="D6" s="74">
        <f t="shared" ref="D6:D12" si="1">D5+1</f>
        <v>2</v>
      </c>
      <c r="E6" s="32">
        <v>44534</v>
      </c>
      <c r="F6" s="45">
        <f t="shared" ref="F6:F12" si="2">E6-$E$3</f>
        <v>108</v>
      </c>
      <c r="G6" s="28">
        <f t="shared" ref="G6:G12" si="3">$C$6</f>
        <v>0.04</v>
      </c>
      <c r="H6" s="35">
        <v>0</v>
      </c>
      <c r="I6" s="29">
        <f t="shared" ref="I6:I11" si="4">+YEARFRAC(E5,E6,3)*(G6)*100</f>
        <v>0.99726027397260275</v>
      </c>
      <c r="J6" s="75">
        <f t="shared" ref="J6:J12" si="5">H6+I6</f>
        <v>0.99726027397260275</v>
      </c>
      <c r="K6" s="94">
        <f>+J6/(((1+'CT Barragan'!$D$22*90/365)^(365/90))^(('Clase 1 DL'!E6-'Clase 1 DL'!$E$3)/365))</f>
        <v>0.98702963149179479</v>
      </c>
      <c r="L6" s="46">
        <f>+J6/((1+$C$8)^(F6/$F$12))</f>
        <v>0.99154909371941369</v>
      </c>
      <c r="M6" s="49">
        <f t="shared" si="0"/>
        <v>9.9154909371941373E-3</v>
      </c>
    </row>
    <row r="7" spans="1:14" ht="12.75" x14ac:dyDescent="0.2">
      <c r="D7" s="74">
        <f t="shared" si="1"/>
        <v>3</v>
      </c>
      <c r="E7" s="32">
        <v>44624</v>
      </c>
      <c r="F7" s="45">
        <f t="shared" si="2"/>
        <v>198</v>
      </c>
      <c r="G7" s="28">
        <f t="shared" si="3"/>
        <v>0.04</v>
      </c>
      <c r="H7" s="35">
        <v>0</v>
      </c>
      <c r="I7" s="29">
        <f t="shared" si="4"/>
        <v>0.98630136986301364</v>
      </c>
      <c r="J7" s="75">
        <f t="shared" si="5"/>
        <v>0.98630136986301364</v>
      </c>
      <c r="K7" s="94">
        <f>+J7/(((1+'CT Barragan'!$D$22*90/365)^(365/90))^(('Clase 1 DL'!E7-'Clase 1 DL'!$E$3)/365))</f>
        <v>0.96783064101336658</v>
      </c>
      <c r="L7" s="46">
        <f>+J7/((1+$C$8)^(F7/$F$12))</f>
        <v>0.97597065111640813</v>
      </c>
      <c r="M7" s="49">
        <f t="shared" si="0"/>
        <v>9.7597065111640815E-3</v>
      </c>
    </row>
    <row r="8" spans="1:14" ht="12.75" x14ac:dyDescent="0.2">
      <c r="A8" s="34" t="s">
        <v>28</v>
      </c>
      <c r="B8" s="34"/>
      <c r="C8" s="33">
        <f>XIRR(J3:J12,E3:E12)</f>
        <v>3.5445991158485415E-2</v>
      </c>
      <c r="D8" s="74">
        <f t="shared" si="1"/>
        <v>4</v>
      </c>
      <c r="E8" s="32">
        <v>44716</v>
      </c>
      <c r="F8" s="45">
        <f t="shared" si="2"/>
        <v>290</v>
      </c>
      <c r="G8" s="28">
        <f t="shared" si="3"/>
        <v>0.04</v>
      </c>
      <c r="H8" s="35">
        <v>0</v>
      </c>
      <c r="I8" s="29">
        <f t="shared" si="4"/>
        <v>1.0082191780821919</v>
      </c>
      <c r="J8" s="75">
        <f t="shared" si="5"/>
        <v>1.0082191780821919</v>
      </c>
      <c r="K8" s="94">
        <f>+J8/(((1+'CT Barragan'!$D$22*90/365)^(365/90))^(('Clase 1 DL'!E8-'Clase 1 DL'!$E$3)/365))</f>
        <v>0.98068563326408065</v>
      </c>
      <c r="L8" s="46">
        <f t="shared" ref="L8:L12" si="6">+J8/((1+$C$8)^(F8/$F$12))</f>
        <v>0.99278979452502092</v>
      </c>
      <c r="M8" s="49">
        <f t="shared" ref="M8:M12" si="7">L8/100</f>
        <v>9.9278979452502095E-3</v>
      </c>
    </row>
    <row r="9" spans="1:14" ht="12.75" x14ac:dyDescent="0.2">
      <c r="A9" s="34" t="s">
        <v>5</v>
      </c>
      <c r="B9" s="34"/>
      <c r="C9" s="117">
        <f>((1+C8)^(90/365)-1)*365/90</f>
        <v>3.4982255503611372E-2</v>
      </c>
      <c r="D9" s="74">
        <f t="shared" si="1"/>
        <v>5</v>
      </c>
      <c r="E9" s="32">
        <v>44808</v>
      </c>
      <c r="F9" s="45">
        <f t="shared" si="2"/>
        <v>382</v>
      </c>
      <c r="G9" s="28">
        <f t="shared" si="3"/>
        <v>0.04</v>
      </c>
      <c r="H9" s="35">
        <v>0</v>
      </c>
      <c r="I9" s="29">
        <f t="shared" si="4"/>
        <v>1.0082191780821919</v>
      </c>
      <c r="J9" s="75">
        <f t="shared" si="5"/>
        <v>1.0082191780821919</v>
      </c>
      <c r="K9" s="94">
        <f>+J9/(((1+'CT Barragan'!$D$22*90/365)^(365/90))^(('Clase 1 DL'!E9-'Clase 1 DL'!$E$3)/365))</f>
        <v>0.97210894798434144</v>
      </c>
      <c r="L9" s="46">
        <f t="shared" si="6"/>
        <v>0.98794446494504951</v>
      </c>
      <c r="M9" s="49">
        <f t="shared" si="7"/>
        <v>9.8794446494504945E-3</v>
      </c>
    </row>
    <row r="10" spans="1:14" ht="15" customHeight="1" x14ac:dyDescent="0.2">
      <c r="A10" s="34"/>
      <c r="B10" s="34"/>
      <c r="C10" s="33"/>
      <c r="D10" s="74">
        <f t="shared" si="1"/>
        <v>6</v>
      </c>
      <c r="E10" s="32">
        <v>44899</v>
      </c>
      <c r="F10" s="45">
        <f t="shared" si="2"/>
        <v>473</v>
      </c>
      <c r="G10" s="28">
        <f t="shared" si="3"/>
        <v>0.04</v>
      </c>
      <c r="H10" s="35">
        <v>0</v>
      </c>
      <c r="I10" s="29">
        <f t="shared" si="4"/>
        <v>0.99726027397260275</v>
      </c>
      <c r="J10" s="75">
        <f t="shared" si="5"/>
        <v>0.99726027397260275</v>
      </c>
      <c r="K10" s="94">
        <f>+J10/(((1+'CT Barragan'!$D$22*90/365)^(365/90))^(('Clase 1 DL'!E10-'Clase 1 DL'!$E$3)/365))</f>
        <v>0.95322428745582288</v>
      </c>
      <c r="L10" s="46">
        <f t="shared" si="6"/>
        <v>0.97248838046316322</v>
      </c>
      <c r="M10" s="49">
        <f t="shared" si="7"/>
        <v>9.7248838046316323E-3</v>
      </c>
    </row>
    <row r="11" spans="1:14" ht="12.75" x14ac:dyDescent="0.2">
      <c r="A11" s="34"/>
      <c r="B11" s="34"/>
      <c r="C11" s="33"/>
      <c r="D11" s="74">
        <f t="shared" si="1"/>
        <v>7</v>
      </c>
      <c r="E11" s="32">
        <v>44989</v>
      </c>
      <c r="F11" s="45">
        <f t="shared" si="2"/>
        <v>563</v>
      </c>
      <c r="G11" s="28">
        <f t="shared" si="3"/>
        <v>0.04</v>
      </c>
      <c r="H11" s="35">
        <v>0</v>
      </c>
      <c r="I11" s="29">
        <f t="shared" si="4"/>
        <v>0.98630136986301364</v>
      </c>
      <c r="J11" s="75">
        <f t="shared" si="5"/>
        <v>0.98630136986301364</v>
      </c>
      <c r="K11" s="94">
        <f>+J11/(((1+'CT Barragan'!$D$22*90/365)^(365/90))^(('Clase 1 DL'!E11-'Clase 1 DL'!$E$3)/365))</f>
        <v>0.93468285421535313</v>
      </c>
      <c r="L11" s="46">
        <f t="shared" si="6"/>
        <v>0.95720940485510086</v>
      </c>
      <c r="M11" s="49">
        <f t="shared" si="7"/>
        <v>9.5720940485510084E-3</v>
      </c>
    </row>
    <row r="12" spans="1:14" ht="12.75" x14ac:dyDescent="0.2">
      <c r="A12" s="31" t="s">
        <v>18</v>
      </c>
      <c r="B12" s="31"/>
      <c r="C12" s="50">
        <f>+SUMPRODUCT(M5:M12,F5:F12)/L4/365</f>
        <v>1.7281969403752688</v>
      </c>
      <c r="D12" s="74">
        <f t="shared" si="1"/>
        <v>8</v>
      </c>
      <c r="E12" s="32">
        <v>45081</v>
      </c>
      <c r="F12" s="45">
        <f t="shared" si="2"/>
        <v>655</v>
      </c>
      <c r="G12" s="28">
        <f t="shared" si="3"/>
        <v>0.04</v>
      </c>
      <c r="H12" s="35">
        <v>100</v>
      </c>
      <c r="I12" s="29">
        <f>+YEARFRAC(E11,E12,3)*(G12)*100</f>
        <v>1.0082191780821919</v>
      </c>
      <c r="J12" s="75">
        <f t="shared" si="5"/>
        <v>101.00821917808219</v>
      </c>
      <c r="K12" s="94">
        <f>+J12/(((1+'CT Barragan'!$D$22*90/365)^(365/90))^(('Clase 1 DL'!E12-'Clase 1 DL'!$E$3)/365))</f>
        <v>94.884764005639738</v>
      </c>
      <c r="L12" s="46">
        <f t="shared" si="6"/>
        <v>97.550446899766754</v>
      </c>
      <c r="M12" s="49">
        <f t="shared" si="7"/>
        <v>0.97550446899766752</v>
      </c>
    </row>
    <row r="13" spans="1:14" x14ac:dyDescent="0.2">
      <c r="A13" s="31" t="s">
        <v>19</v>
      </c>
      <c r="B13" s="31">
        <f>ROUND(C13*365,0)</f>
        <v>655</v>
      </c>
      <c r="C13" s="35">
        <f>+(E12-E3)/365</f>
        <v>1.7945205479452055</v>
      </c>
      <c r="E13" s="32"/>
      <c r="G13" s="82"/>
      <c r="K13" s="94"/>
    </row>
    <row r="14" spans="1:14" x14ac:dyDescent="0.2">
      <c r="G14" s="82"/>
    </row>
    <row r="15" spans="1:14" x14ac:dyDescent="0.2">
      <c r="A15" s="41"/>
      <c r="B15" s="41"/>
      <c r="C15" s="41"/>
      <c r="D15" s="74"/>
      <c r="E15" s="32"/>
      <c r="F15" s="45"/>
      <c r="G15" s="28"/>
      <c r="H15" s="35"/>
      <c r="I15" s="29"/>
      <c r="J15" s="75"/>
    </row>
    <row r="21" spans="5:7" ht="14.25" customHeight="1" x14ac:dyDescent="0.2"/>
    <row r="22" spans="5:7" ht="14.25" customHeight="1" x14ac:dyDescent="0.2"/>
    <row r="26" spans="5:7" x14ac:dyDescent="0.2">
      <c r="E26" s="38"/>
      <c r="F26" s="38"/>
      <c r="G26" s="38"/>
    </row>
  </sheetData>
  <sheetProtection algorithmName="SHA-512" hashValue="AbHjHsp6DMpqYXU9423BsoIXwBGyyhvHb6ko62rdLEv5ClyhcBN3bipq5FLXkAMGzVrNylUXaEk0L2xkHkQpvQ==" saltValue="YDVAi33irKIyzS5dcVspOg==" spinCount="100000" sheet="1" objects="1" scenarios="1" selectLockedCells="1"/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2E98-BA93-428F-9441-A717499C65F0}">
  <dimension ref="A1:S32"/>
  <sheetViews>
    <sheetView workbookViewId="0">
      <selection activeCell="C11" sqref="C11"/>
    </sheetView>
  </sheetViews>
  <sheetFormatPr baseColWidth="10" defaultColWidth="14.7109375" defaultRowHeight="12" x14ac:dyDescent="0.2"/>
  <cols>
    <col min="1" max="1" width="21.7109375" style="36" bestFit="1" customWidth="1"/>
    <col min="2" max="2" width="10" style="36" customWidth="1"/>
    <col min="3" max="3" width="7.5703125" style="36" customWidth="1"/>
    <col min="4" max="4" width="4.85546875" style="68" customWidth="1"/>
    <col min="5" max="5" width="9.42578125" style="36" customWidth="1"/>
    <col min="6" max="6" width="6.5703125" style="36" customWidth="1"/>
    <col min="7" max="7" width="6.42578125" style="36" customWidth="1"/>
    <col min="8" max="8" width="10.42578125" style="36" customWidth="1"/>
    <col min="9" max="9" width="7.42578125" style="36" customWidth="1"/>
    <col min="10" max="10" width="8" style="36" customWidth="1"/>
    <col min="11" max="11" width="9.140625" style="104" customWidth="1"/>
    <col min="12" max="12" width="8" style="98" customWidth="1"/>
    <col min="13" max="13" width="8.5703125" style="68" customWidth="1"/>
    <col min="14" max="14" width="8.42578125" style="36" customWidth="1"/>
    <col min="15" max="15" width="9.85546875" style="36" customWidth="1"/>
    <col min="16" max="16" width="13.42578125" style="36" customWidth="1"/>
    <col min="17" max="17" width="11.140625" style="36" customWidth="1"/>
    <col min="18" max="261" width="14.7109375" style="36"/>
    <col min="262" max="262" width="21.7109375" style="36" bestFit="1" customWidth="1"/>
    <col min="263" max="268" width="14.7109375" style="36"/>
    <col min="269" max="273" width="0" style="36" hidden="1" customWidth="1"/>
    <col min="274" max="517" width="14.7109375" style="36"/>
    <col min="518" max="518" width="21.7109375" style="36" bestFit="1" customWidth="1"/>
    <col min="519" max="524" width="14.7109375" style="36"/>
    <col min="525" max="529" width="0" style="36" hidden="1" customWidth="1"/>
    <col min="530" max="773" width="14.7109375" style="36"/>
    <col min="774" max="774" width="21.7109375" style="36" bestFit="1" customWidth="1"/>
    <col min="775" max="780" width="14.7109375" style="36"/>
    <col min="781" max="785" width="0" style="36" hidden="1" customWidth="1"/>
    <col min="786" max="1029" width="14.7109375" style="36"/>
    <col min="1030" max="1030" width="21.7109375" style="36" bestFit="1" customWidth="1"/>
    <col min="1031" max="1036" width="14.7109375" style="36"/>
    <col min="1037" max="1041" width="0" style="36" hidden="1" customWidth="1"/>
    <col min="1042" max="1285" width="14.7109375" style="36"/>
    <col min="1286" max="1286" width="21.7109375" style="36" bestFit="1" customWidth="1"/>
    <col min="1287" max="1292" width="14.7109375" style="36"/>
    <col min="1293" max="1297" width="0" style="36" hidden="1" customWidth="1"/>
    <col min="1298" max="1541" width="14.7109375" style="36"/>
    <col min="1542" max="1542" width="21.7109375" style="36" bestFit="1" customWidth="1"/>
    <col min="1543" max="1548" width="14.7109375" style="36"/>
    <col min="1549" max="1553" width="0" style="36" hidden="1" customWidth="1"/>
    <col min="1554" max="1797" width="14.7109375" style="36"/>
    <col min="1798" max="1798" width="21.7109375" style="36" bestFit="1" customWidth="1"/>
    <col min="1799" max="1804" width="14.7109375" style="36"/>
    <col min="1805" max="1809" width="0" style="36" hidden="1" customWidth="1"/>
    <col min="1810" max="2053" width="14.7109375" style="36"/>
    <col min="2054" max="2054" width="21.7109375" style="36" bestFit="1" customWidth="1"/>
    <col min="2055" max="2060" width="14.7109375" style="36"/>
    <col min="2061" max="2065" width="0" style="36" hidden="1" customWidth="1"/>
    <col min="2066" max="2309" width="14.7109375" style="36"/>
    <col min="2310" max="2310" width="21.7109375" style="36" bestFit="1" customWidth="1"/>
    <col min="2311" max="2316" width="14.7109375" style="36"/>
    <col min="2317" max="2321" width="0" style="36" hidden="1" customWidth="1"/>
    <col min="2322" max="2565" width="14.7109375" style="36"/>
    <col min="2566" max="2566" width="21.7109375" style="36" bestFit="1" customWidth="1"/>
    <col min="2567" max="2572" width="14.7109375" style="36"/>
    <col min="2573" max="2577" width="0" style="36" hidden="1" customWidth="1"/>
    <col min="2578" max="2821" width="14.7109375" style="36"/>
    <col min="2822" max="2822" width="21.7109375" style="36" bestFit="1" customWidth="1"/>
    <col min="2823" max="2828" width="14.7109375" style="36"/>
    <col min="2829" max="2833" width="0" style="36" hidden="1" customWidth="1"/>
    <col min="2834" max="3077" width="14.7109375" style="36"/>
    <col min="3078" max="3078" width="21.7109375" style="36" bestFit="1" customWidth="1"/>
    <col min="3079" max="3084" width="14.7109375" style="36"/>
    <col min="3085" max="3089" width="0" style="36" hidden="1" customWidth="1"/>
    <col min="3090" max="3333" width="14.7109375" style="36"/>
    <col min="3334" max="3334" width="21.7109375" style="36" bestFit="1" customWidth="1"/>
    <col min="3335" max="3340" width="14.7109375" style="36"/>
    <col min="3341" max="3345" width="0" style="36" hidden="1" customWidth="1"/>
    <col min="3346" max="3589" width="14.7109375" style="36"/>
    <col min="3590" max="3590" width="21.7109375" style="36" bestFit="1" customWidth="1"/>
    <col min="3591" max="3596" width="14.7109375" style="36"/>
    <col min="3597" max="3601" width="0" style="36" hidden="1" customWidth="1"/>
    <col min="3602" max="3845" width="14.7109375" style="36"/>
    <col min="3846" max="3846" width="21.7109375" style="36" bestFit="1" customWidth="1"/>
    <col min="3847" max="3852" width="14.7109375" style="36"/>
    <col min="3853" max="3857" width="0" style="36" hidden="1" customWidth="1"/>
    <col min="3858" max="4101" width="14.7109375" style="36"/>
    <col min="4102" max="4102" width="21.7109375" style="36" bestFit="1" customWidth="1"/>
    <col min="4103" max="4108" width="14.7109375" style="36"/>
    <col min="4109" max="4113" width="0" style="36" hidden="1" customWidth="1"/>
    <col min="4114" max="4357" width="14.7109375" style="36"/>
    <col min="4358" max="4358" width="21.7109375" style="36" bestFit="1" customWidth="1"/>
    <col min="4359" max="4364" width="14.7109375" style="36"/>
    <col min="4365" max="4369" width="0" style="36" hidden="1" customWidth="1"/>
    <col min="4370" max="4613" width="14.7109375" style="36"/>
    <col min="4614" max="4614" width="21.7109375" style="36" bestFit="1" customWidth="1"/>
    <col min="4615" max="4620" width="14.7109375" style="36"/>
    <col min="4621" max="4625" width="0" style="36" hidden="1" customWidth="1"/>
    <col min="4626" max="4869" width="14.7109375" style="36"/>
    <col min="4870" max="4870" width="21.7109375" style="36" bestFit="1" customWidth="1"/>
    <col min="4871" max="4876" width="14.7109375" style="36"/>
    <col min="4877" max="4881" width="0" style="36" hidden="1" customWidth="1"/>
    <col min="4882" max="5125" width="14.7109375" style="36"/>
    <col min="5126" max="5126" width="21.7109375" style="36" bestFit="1" customWidth="1"/>
    <col min="5127" max="5132" width="14.7109375" style="36"/>
    <col min="5133" max="5137" width="0" style="36" hidden="1" customWidth="1"/>
    <col min="5138" max="5381" width="14.7109375" style="36"/>
    <col min="5382" max="5382" width="21.7109375" style="36" bestFit="1" customWidth="1"/>
    <col min="5383" max="5388" width="14.7109375" style="36"/>
    <col min="5389" max="5393" width="0" style="36" hidden="1" customWidth="1"/>
    <col min="5394" max="5637" width="14.7109375" style="36"/>
    <col min="5638" max="5638" width="21.7109375" style="36" bestFit="1" customWidth="1"/>
    <col min="5639" max="5644" width="14.7109375" style="36"/>
    <col min="5645" max="5649" width="0" style="36" hidden="1" customWidth="1"/>
    <col min="5650" max="5893" width="14.7109375" style="36"/>
    <col min="5894" max="5894" width="21.7109375" style="36" bestFit="1" customWidth="1"/>
    <col min="5895" max="5900" width="14.7109375" style="36"/>
    <col min="5901" max="5905" width="0" style="36" hidden="1" customWidth="1"/>
    <col min="5906" max="6149" width="14.7109375" style="36"/>
    <col min="6150" max="6150" width="21.7109375" style="36" bestFit="1" customWidth="1"/>
    <col min="6151" max="6156" width="14.7109375" style="36"/>
    <col min="6157" max="6161" width="0" style="36" hidden="1" customWidth="1"/>
    <col min="6162" max="6405" width="14.7109375" style="36"/>
    <col min="6406" max="6406" width="21.7109375" style="36" bestFit="1" customWidth="1"/>
    <col min="6407" max="6412" width="14.7109375" style="36"/>
    <col min="6413" max="6417" width="0" style="36" hidden="1" customWidth="1"/>
    <col min="6418" max="6661" width="14.7109375" style="36"/>
    <col min="6662" max="6662" width="21.7109375" style="36" bestFit="1" customWidth="1"/>
    <col min="6663" max="6668" width="14.7109375" style="36"/>
    <col min="6669" max="6673" width="0" style="36" hidden="1" customWidth="1"/>
    <col min="6674" max="6917" width="14.7109375" style="36"/>
    <col min="6918" max="6918" width="21.7109375" style="36" bestFit="1" customWidth="1"/>
    <col min="6919" max="6924" width="14.7109375" style="36"/>
    <col min="6925" max="6929" width="0" style="36" hidden="1" customWidth="1"/>
    <col min="6930" max="7173" width="14.7109375" style="36"/>
    <col min="7174" max="7174" width="21.7109375" style="36" bestFit="1" customWidth="1"/>
    <col min="7175" max="7180" width="14.7109375" style="36"/>
    <col min="7181" max="7185" width="0" style="36" hidden="1" customWidth="1"/>
    <col min="7186" max="7429" width="14.7109375" style="36"/>
    <col min="7430" max="7430" width="21.7109375" style="36" bestFit="1" customWidth="1"/>
    <col min="7431" max="7436" width="14.7109375" style="36"/>
    <col min="7437" max="7441" width="0" style="36" hidden="1" customWidth="1"/>
    <col min="7442" max="7685" width="14.7109375" style="36"/>
    <col min="7686" max="7686" width="21.7109375" style="36" bestFit="1" customWidth="1"/>
    <col min="7687" max="7692" width="14.7109375" style="36"/>
    <col min="7693" max="7697" width="0" style="36" hidden="1" customWidth="1"/>
    <col min="7698" max="7941" width="14.7109375" style="36"/>
    <col min="7942" max="7942" width="21.7109375" style="36" bestFit="1" customWidth="1"/>
    <col min="7943" max="7948" width="14.7109375" style="36"/>
    <col min="7949" max="7953" width="0" style="36" hidden="1" customWidth="1"/>
    <col min="7954" max="8197" width="14.7109375" style="36"/>
    <col min="8198" max="8198" width="21.7109375" style="36" bestFit="1" customWidth="1"/>
    <col min="8199" max="8204" width="14.7109375" style="36"/>
    <col min="8205" max="8209" width="0" style="36" hidden="1" customWidth="1"/>
    <col min="8210" max="8453" width="14.7109375" style="36"/>
    <col min="8454" max="8454" width="21.7109375" style="36" bestFit="1" customWidth="1"/>
    <col min="8455" max="8460" width="14.7109375" style="36"/>
    <col min="8461" max="8465" width="0" style="36" hidden="1" customWidth="1"/>
    <col min="8466" max="8709" width="14.7109375" style="36"/>
    <col min="8710" max="8710" width="21.7109375" style="36" bestFit="1" customWidth="1"/>
    <col min="8711" max="8716" width="14.7109375" style="36"/>
    <col min="8717" max="8721" width="0" style="36" hidden="1" customWidth="1"/>
    <col min="8722" max="8965" width="14.7109375" style="36"/>
    <col min="8966" max="8966" width="21.7109375" style="36" bestFit="1" customWidth="1"/>
    <col min="8967" max="8972" width="14.7109375" style="36"/>
    <col min="8973" max="8977" width="0" style="36" hidden="1" customWidth="1"/>
    <col min="8978" max="9221" width="14.7109375" style="36"/>
    <col min="9222" max="9222" width="21.7109375" style="36" bestFit="1" customWidth="1"/>
    <col min="9223" max="9228" width="14.7109375" style="36"/>
    <col min="9229" max="9233" width="0" style="36" hidden="1" customWidth="1"/>
    <col min="9234" max="9477" width="14.7109375" style="36"/>
    <col min="9478" max="9478" width="21.7109375" style="36" bestFit="1" customWidth="1"/>
    <col min="9479" max="9484" width="14.7109375" style="36"/>
    <col min="9485" max="9489" width="0" style="36" hidden="1" customWidth="1"/>
    <col min="9490" max="9733" width="14.7109375" style="36"/>
    <col min="9734" max="9734" width="21.7109375" style="36" bestFit="1" customWidth="1"/>
    <col min="9735" max="9740" width="14.7109375" style="36"/>
    <col min="9741" max="9745" width="0" style="36" hidden="1" customWidth="1"/>
    <col min="9746" max="9989" width="14.7109375" style="36"/>
    <col min="9990" max="9990" width="21.7109375" style="36" bestFit="1" customWidth="1"/>
    <col min="9991" max="9996" width="14.7109375" style="36"/>
    <col min="9997" max="10001" width="0" style="36" hidden="1" customWidth="1"/>
    <col min="10002" max="10245" width="14.7109375" style="36"/>
    <col min="10246" max="10246" width="21.7109375" style="36" bestFit="1" customWidth="1"/>
    <col min="10247" max="10252" width="14.7109375" style="36"/>
    <col min="10253" max="10257" width="0" style="36" hidden="1" customWidth="1"/>
    <col min="10258" max="10501" width="14.7109375" style="36"/>
    <col min="10502" max="10502" width="21.7109375" style="36" bestFit="1" customWidth="1"/>
    <col min="10503" max="10508" width="14.7109375" style="36"/>
    <col min="10509" max="10513" width="0" style="36" hidden="1" customWidth="1"/>
    <col min="10514" max="10757" width="14.7109375" style="36"/>
    <col min="10758" max="10758" width="21.7109375" style="36" bestFit="1" customWidth="1"/>
    <col min="10759" max="10764" width="14.7109375" style="36"/>
    <col min="10765" max="10769" width="0" style="36" hidden="1" customWidth="1"/>
    <col min="10770" max="11013" width="14.7109375" style="36"/>
    <col min="11014" max="11014" width="21.7109375" style="36" bestFit="1" customWidth="1"/>
    <col min="11015" max="11020" width="14.7109375" style="36"/>
    <col min="11021" max="11025" width="0" style="36" hidden="1" customWidth="1"/>
    <col min="11026" max="11269" width="14.7109375" style="36"/>
    <col min="11270" max="11270" width="21.7109375" style="36" bestFit="1" customWidth="1"/>
    <col min="11271" max="11276" width="14.7109375" style="36"/>
    <col min="11277" max="11281" width="0" style="36" hidden="1" customWidth="1"/>
    <col min="11282" max="11525" width="14.7109375" style="36"/>
    <col min="11526" max="11526" width="21.7109375" style="36" bestFit="1" customWidth="1"/>
    <col min="11527" max="11532" width="14.7109375" style="36"/>
    <col min="11533" max="11537" width="0" style="36" hidden="1" customWidth="1"/>
    <col min="11538" max="11781" width="14.7109375" style="36"/>
    <col min="11782" max="11782" width="21.7109375" style="36" bestFit="1" customWidth="1"/>
    <col min="11783" max="11788" width="14.7109375" style="36"/>
    <col min="11789" max="11793" width="0" style="36" hidden="1" customWidth="1"/>
    <col min="11794" max="12037" width="14.7109375" style="36"/>
    <col min="12038" max="12038" width="21.7109375" style="36" bestFit="1" customWidth="1"/>
    <col min="12039" max="12044" width="14.7109375" style="36"/>
    <col min="12045" max="12049" width="0" style="36" hidden="1" customWidth="1"/>
    <col min="12050" max="12293" width="14.7109375" style="36"/>
    <col min="12294" max="12294" width="21.7109375" style="36" bestFit="1" customWidth="1"/>
    <col min="12295" max="12300" width="14.7109375" style="36"/>
    <col min="12301" max="12305" width="0" style="36" hidden="1" customWidth="1"/>
    <col min="12306" max="12549" width="14.7109375" style="36"/>
    <col min="12550" max="12550" width="21.7109375" style="36" bestFit="1" customWidth="1"/>
    <col min="12551" max="12556" width="14.7109375" style="36"/>
    <col min="12557" max="12561" width="0" style="36" hidden="1" customWidth="1"/>
    <col min="12562" max="12805" width="14.7109375" style="36"/>
    <col min="12806" max="12806" width="21.7109375" style="36" bestFit="1" customWidth="1"/>
    <col min="12807" max="12812" width="14.7109375" style="36"/>
    <col min="12813" max="12817" width="0" style="36" hidden="1" customWidth="1"/>
    <col min="12818" max="13061" width="14.7109375" style="36"/>
    <col min="13062" max="13062" width="21.7109375" style="36" bestFit="1" customWidth="1"/>
    <col min="13063" max="13068" width="14.7109375" style="36"/>
    <col min="13069" max="13073" width="0" style="36" hidden="1" customWidth="1"/>
    <col min="13074" max="13317" width="14.7109375" style="36"/>
    <col min="13318" max="13318" width="21.7109375" style="36" bestFit="1" customWidth="1"/>
    <col min="13319" max="13324" width="14.7109375" style="36"/>
    <col min="13325" max="13329" width="0" style="36" hidden="1" customWidth="1"/>
    <col min="13330" max="13573" width="14.7109375" style="36"/>
    <col min="13574" max="13574" width="21.7109375" style="36" bestFit="1" customWidth="1"/>
    <col min="13575" max="13580" width="14.7109375" style="36"/>
    <col min="13581" max="13585" width="0" style="36" hidden="1" customWidth="1"/>
    <col min="13586" max="13829" width="14.7109375" style="36"/>
    <col min="13830" max="13830" width="21.7109375" style="36" bestFit="1" customWidth="1"/>
    <col min="13831" max="13836" width="14.7109375" style="36"/>
    <col min="13837" max="13841" width="0" style="36" hidden="1" customWidth="1"/>
    <col min="13842" max="14085" width="14.7109375" style="36"/>
    <col min="14086" max="14086" width="21.7109375" style="36" bestFit="1" customWidth="1"/>
    <col min="14087" max="14092" width="14.7109375" style="36"/>
    <col min="14093" max="14097" width="0" style="36" hidden="1" customWidth="1"/>
    <col min="14098" max="14341" width="14.7109375" style="36"/>
    <col min="14342" max="14342" width="21.7109375" style="36" bestFit="1" customWidth="1"/>
    <col min="14343" max="14348" width="14.7109375" style="36"/>
    <col min="14349" max="14353" width="0" style="36" hidden="1" customWidth="1"/>
    <col min="14354" max="14597" width="14.7109375" style="36"/>
    <col min="14598" max="14598" width="21.7109375" style="36" bestFit="1" customWidth="1"/>
    <col min="14599" max="14604" width="14.7109375" style="36"/>
    <col min="14605" max="14609" width="0" style="36" hidden="1" customWidth="1"/>
    <col min="14610" max="14853" width="14.7109375" style="36"/>
    <col min="14854" max="14854" width="21.7109375" style="36" bestFit="1" customWidth="1"/>
    <col min="14855" max="14860" width="14.7109375" style="36"/>
    <col min="14861" max="14865" width="0" style="36" hidden="1" customWidth="1"/>
    <col min="14866" max="15109" width="14.7109375" style="36"/>
    <col min="15110" max="15110" width="21.7109375" style="36" bestFit="1" customWidth="1"/>
    <col min="15111" max="15116" width="14.7109375" style="36"/>
    <col min="15117" max="15121" width="0" style="36" hidden="1" customWidth="1"/>
    <col min="15122" max="15365" width="14.7109375" style="36"/>
    <col min="15366" max="15366" width="21.7109375" style="36" bestFit="1" customWidth="1"/>
    <col min="15367" max="15372" width="14.7109375" style="36"/>
    <col min="15373" max="15377" width="0" style="36" hidden="1" customWidth="1"/>
    <col min="15378" max="15621" width="14.7109375" style="36"/>
    <col min="15622" max="15622" width="21.7109375" style="36" bestFit="1" customWidth="1"/>
    <col min="15623" max="15628" width="14.7109375" style="36"/>
    <col min="15629" max="15633" width="0" style="36" hidden="1" customWidth="1"/>
    <col min="15634" max="15877" width="14.7109375" style="36"/>
    <col min="15878" max="15878" width="21.7109375" style="36" bestFit="1" customWidth="1"/>
    <col min="15879" max="15884" width="14.7109375" style="36"/>
    <col min="15885" max="15889" width="0" style="36" hidden="1" customWidth="1"/>
    <col min="15890" max="16133" width="14.7109375" style="36"/>
    <col min="16134" max="16134" width="21.7109375" style="36" bestFit="1" customWidth="1"/>
    <col min="16135" max="16140" width="14.7109375" style="36"/>
    <col min="16141" max="16145" width="0" style="36" hidden="1" customWidth="1"/>
    <col min="16146" max="16384" width="14.7109375" style="36"/>
  </cols>
  <sheetData>
    <row r="1" spans="1:19" ht="15" customHeight="1" x14ac:dyDescent="0.2">
      <c r="E1" s="31"/>
      <c r="F1" s="31"/>
      <c r="G1" s="31"/>
      <c r="H1" s="31"/>
      <c r="I1" s="31"/>
      <c r="J1" s="51"/>
      <c r="K1" s="102"/>
      <c r="L1" s="95"/>
      <c r="M1" s="91"/>
      <c r="N1" s="51"/>
    </row>
    <row r="2" spans="1:19" s="66" customFormat="1" ht="14.25" customHeight="1" x14ac:dyDescent="0.2">
      <c r="A2" s="37" t="str">
        <f>'CT Barragan'!F2</f>
        <v>ON CLASE 2 - AR$ (REAPERTURA)</v>
      </c>
      <c r="B2" s="37"/>
      <c r="C2" s="37"/>
      <c r="D2" s="70" t="s">
        <v>26</v>
      </c>
      <c r="E2" s="61" t="s">
        <v>25</v>
      </c>
      <c r="F2" s="61" t="str">
        <f>'Clase 1 DL'!F2</f>
        <v>Dias</v>
      </c>
      <c r="G2" s="61" t="str">
        <f>'Clase 1 DL'!G2</f>
        <v>Tasa</v>
      </c>
      <c r="H2" s="61" t="str">
        <f>'Clase 1 DL'!H2</f>
        <v>Amortización</v>
      </c>
      <c r="I2" s="62" t="s">
        <v>1</v>
      </c>
      <c r="J2" s="63" t="s">
        <v>40</v>
      </c>
      <c r="K2" s="103" t="s">
        <v>41</v>
      </c>
      <c r="L2" s="96" t="s">
        <v>13</v>
      </c>
      <c r="M2" s="100"/>
      <c r="N2" s="63"/>
      <c r="O2" s="63"/>
      <c r="P2" s="64"/>
      <c r="Q2" s="65"/>
      <c r="R2" s="64"/>
    </row>
    <row r="3" spans="1:19" ht="15" customHeight="1" x14ac:dyDescent="0.2">
      <c r="A3" s="40" t="s">
        <v>3</v>
      </c>
      <c r="B3" s="40"/>
      <c r="C3" s="88">
        <f>+'CT Barragan'!G18*100</f>
        <v>101.47999999999999</v>
      </c>
      <c r="D3" s="72"/>
      <c r="E3" s="67">
        <f>'CT Barragan'!G4</f>
        <v>44426</v>
      </c>
      <c r="F3" s="60"/>
      <c r="G3" s="60"/>
      <c r="H3" s="60"/>
      <c r="I3" s="56"/>
      <c r="J3" s="54">
        <f>-C3</f>
        <v>-101.47999999999999</v>
      </c>
      <c r="K3" s="94">
        <f>J3*L3</f>
        <v>-8601.4447999999993</v>
      </c>
      <c r="L3" s="97">
        <f>'CT Barragan'!$G$11</f>
        <v>84.76</v>
      </c>
      <c r="M3" s="108">
        <f>SUM(M5:M16)</f>
        <v>8601.5718327054819</v>
      </c>
      <c r="N3" s="54"/>
      <c r="O3" s="54"/>
      <c r="P3" s="54"/>
      <c r="S3" s="57"/>
    </row>
    <row r="4" spans="1:19" ht="15" customHeight="1" x14ac:dyDescent="0.2">
      <c r="A4" s="52" t="s">
        <v>22</v>
      </c>
      <c r="B4" s="52"/>
      <c r="C4" s="35">
        <v>100</v>
      </c>
      <c r="D4" s="74">
        <v>0</v>
      </c>
      <c r="E4" s="55">
        <v>44351</v>
      </c>
      <c r="F4" s="45"/>
      <c r="G4" s="76"/>
      <c r="H4" s="32"/>
      <c r="I4" s="56"/>
      <c r="J4" s="54"/>
      <c r="K4" s="94"/>
      <c r="L4" s="97">
        <v>78.069999999999993</v>
      </c>
      <c r="M4" s="101"/>
      <c r="N4" s="48">
        <f>(SUM(N5:N30))/100</f>
        <v>1.0812159764862268</v>
      </c>
      <c r="O4" s="49"/>
      <c r="P4" s="53"/>
      <c r="S4" s="57"/>
    </row>
    <row r="5" spans="1:19" ht="15" customHeight="1" x14ac:dyDescent="0.2">
      <c r="A5" s="31" t="s">
        <v>9</v>
      </c>
      <c r="B5" s="31"/>
      <c r="C5" s="32">
        <f>'CT Barragan'!G5</f>
        <v>44351</v>
      </c>
      <c r="D5" s="74">
        <f>D4+1</f>
        <v>1</v>
      </c>
      <c r="E5" s="55">
        <v>44443</v>
      </c>
      <c r="F5" s="45">
        <f t="shared" ref="F5:F15" si="0">E5-$E$3</f>
        <v>17</v>
      </c>
      <c r="G5" s="90">
        <f>$C$8</f>
        <v>0.04</v>
      </c>
      <c r="H5" s="54">
        <v>0</v>
      </c>
      <c r="I5" s="29">
        <f>+YEARFRAC(E4,E5,3)*(G5)*100</f>
        <v>1.0082191780821919</v>
      </c>
      <c r="J5" s="54">
        <f>H5+I5</f>
        <v>1.0082191780821919</v>
      </c>
      <c r="K5" s="94">
        <f>J5*L5</f>
        <v>85.456657534246588</v>
      </c>
      <c r="L5" s="106">
        <f>'CT Barragan'!$G$11</f>
        <v>84.76</v>
      </c>
      <c r="M5" s="107">
        <f>+K5/(((1+'CT Barragan'!$G$22*90/365)^(365/90))^(('Clase 2 UVA'!E5-'Clase 2 UVA'!$E$3)/365))</f>
        <v>85.308215948495231</v>
      </c>
      <c r="N5" s="46">
        <f t="shared" ref="N5:N11" si="1">+J5/((1+$C$9)^(F5/$F$16))</f>
        <v>1.0075926517245302</v>
      </c>
      <c r="O5" s="49">
        <f>N5/100</f>
        <v>1.0075926517245301E-2</v>
      </c>
      <c r="P5" s="54"/>
      <c r="Q5" s="54"/>
      <c r="R5" s="58"/>
      <c r="S5" s="58"/>
    </row>
    <row r="6" spans="1:19" ht="15" customHeight="1" x14ac:dyDescent="0.2">
      <c r="A6" s="31" t="s">
        <v>10</v>
      </c>
      <c r="B6" s="31"/>
      <c r="C6" s="32">
        <f>EDATE(C5,36)</f>
        <v>45447</v>
      </c>
      <c r="D6" s="74">
        <f t="shared" ref="D6:D16" si="2">D5+1</f>
        <v>2</v>
      </c>
      <c r="E6" s="55">
        <v>44534</v>
      </c>
      <c r="F6" s="45">
        <f t="shared" si="0"/>
        <v>108</v>
      </c>
      <c r="G6" s="90">
        <f t="shared" ref="G6:G16" si="3">$C$8</f>
        <v>0.04</v>
      </c>
      <c r="H6" s="54">
        <v>0</v>
      </c>
      <c r="I6" s="29">
        <f t="shared" ref="I6:I9" si="4">+YEARFRAC(E5,E6,3)*(G6)*100</f>
        <v>0.99726027397260275</v>
      </c>
      <c r="J6" s="54">
        <f>I6</f>
        <v>0.99726027397260275</v>
      </c>
      <c r="K6" s="94">
        <f t="shared" ref="K6:K16" si="5">J6*L6</f>
        <v>84.527780821917816</v>
      </c>
      <c r="L6" s="106">
        <f>'CT Barragan'!$G$11</f>
        <v>84.76</v>
      </c>
      <c r="M6" s="107">
        <f>+K6/(((1+'CT Barragan'!$G$22*90/365)^(365/90))^(('Clase 2 UVA'!E6-'Clase 2 UVA'!$E$3)/365))</f>
        <v>83.599316354871078</v>
      </c>
      <c r="N6" s="46">
        <f t="shared" si="1"/>
        <v>0.99332979503377195</v>
      </c>
      <c r="O6" s="49">
        <f t="shared" ref="O6:O9" si="6">N6/100</f>
        <v>9.9332979503377189E-3</v>
      </c>
      <c r="P6" s="54"/>
      <c r="Q6" s="54"/>
      <c r="R6" s="58"/>
      <c r="S6" s="58"/>
    </row>
    <row r="7" spans="1:19" ht="15" customHeight="1" x14ac:dyDescent="0.2">
      <c r="D7" s="74">
        <f t="shared" si="2"/>
        <v>3</v>
      </c>
      <c r="E7" s="55">
        <v>44624</v>
      </c>
      <c r="F7" s="45">
        <f t="shared" si="0"/>
        <v>198</v>
      </c>
      <c r="G7" s="90">
        <f t="shared" si="3"/>
        <v>0.04</v>
      </c>
      <c r="H7" s="54">
        <v>0</v>
      </c>
      <c r="I7" s="29">
        <f t="shared" si="4"/>
        <v>0.98630136986301364</v>
      </c>
      <c r="J7" s="54">
        <f t="shared" ref="J7:J9" si="7">I7</f>
        <v>0.98630136986301364</v>
      </c>
      <c r="K7" s="94">
        <f t="shared" si="5"/>
        <v>83.598904109589043</v>
      </c>
      <c r="L7" s="106">
        <f>'CT Barragan'!$G$11</f>
        <v>84.76</v>
      </c>
      <c r="M7" s="107">
        <f>+K7/(((1+'CT Barragan'!$G$22*90/365)^(365/90))^(('Clase 2 UVA'!E7-'Clase 2 UVA'!$E$3)/365))</f>
        <v>81.923134116870997</v>
      </c>
      <c r="N7" s="46">
        <f t="shared" si="1"/>
        <v>0.97918638329267627</v>
      </c>
      <c r="O7" s="49">
        <f t="shared" si="6"/>
        <v>9.7918638329267619E-3</v>
      </c>
      <c r="P7" s="54"/>
      <c r="Q7" s="54"/>
      <c r="R7" s="58"/>
      <c r="S7" s="58"/>
    </row>
    <row r="8" spans="1:19" ht="15" customHeight="1" x14ac:dyDescent="0.2">
      <c r="A8" s="31" t="s">
        <v>32</v>
      </c>
      <c r="B8" s="31"/>
      <c r="C8" s="115">
        <v>0.04</v>
      </c>
      <c r="D8" s="74">
        <f t="shared" si="2"/>
        <v>4</v>
      </c>
      <c r="E8" s="55">
        <v>44716</v>
      </c>
      <c r="F8" s="45">
        <f t="shared" si="0"/>
        <v>290</v>
      </c>
      <c r="G8" s="90">
        <f t="shared" si="3"/>
        <v>0.04</v>
      </c>
      <c r="H8" s="54">
        <v>0</v>
      </c>
      <c r="I8" s="29">
        <f t="shared" si="4"/>
        <v>1.0082191780821919</v>
      </c>
      <c r="J8" s="54">
        <f t="shared" si="7"/>
        <v>1.0082191780821919</v>
      </c>
      <c r="K8" s="94">
        <f t="shared" si="5"/>
        <v>85.456657534246588</v>
      </c>
      <c r="L8" s="106">
        <f>'CT Barragan'!$G$11</f>
        <v>84.76</v>
      </c>
      <c r="M8" s="107">
        <f>+K8/(((1+'CT Barragan'!$G$22*90/365)^(365/90))^(('Clase 2 UVA'!E8-'Clase 2 UVA'!$E$3)/365))</f>
        <v>82.959430802347399</v>
      </c>
      <c r="N8" s="46">
        <f t="shared" si="1"/>
        <v>0.99758453768097866</v>
      </c>
      <c r="O8" s="49">
        <f t="shared" si="6"/>
        <v>9.975845376809787E-3</v>
      </c>
      <c r="P8" s="54"/>
      <c r="Q8" s="54"/>
      <c r="R8" s="58"/>
      <c r="S8" s="58"/>
    </row>
    <row r="9" spans="1:19" ht="15" customHeight="1" x14ac:dyDescent="0.2">
      <c r="A9" s="34" t="s">
        <v>28</v>
      </c>
      <c r="B9" s="34"/>
      <c r="C9" s="115">
        <f>XIRR(J3:J16,E3:E16)</f>
        <v>3.8038924336433411E-2</v>
      </c>
      <c r="D9" s="74">
        <f t="shared" si="2"/>
        <v>5</v>
      </c>
      <c r="E9" s="55">
        <v>44808</v>
      </c>
      <c r="F9" s="45">
        <f t="shared" si="0"/>
        <v>382</v>
      </c>
      <c r="G9" s="90">
        <f t="shared" si="3"/>
        <v>0.04</v>
      </c>
      <c r="H9" s="54">
        <v>0</v>
      </c>
      <c r="I9" s="29">
        <f t="shared" si="4"/>
        <v>1.0082191780821919</v>
      </c>
      <c r="J9" s="54">
        <f t="shared" si="7"/>
        <v>1.0082191780821919</v>
      </c>
      <c r="K9" s="94">
        <f t="shared" si="5"/>
        <v>85.456657534246588</v>
      </c>
      <c r="L9" s="106">
        <f>'CT Barragan'!$G$11</f>
        <v>84.76</v>
      </c>
      <c r="M9" s="107">
        <f>+K9/(((1+'CT Barragan'!$G$22*90/365)^(365/90))^(('Clase 2 UVA'!E9-'Clase 2 UVA'!$E$3)/365))</f>
        <v>82.182557200352107</v>
      </c>
      <c r="N9" s="46">
        <f t="shared" si="1"/>
        <v>0.99423428395365965</v>
      </c>
      <c r="O9" s="49">
        <f t="shared" si="6"/>
        <v>9.9423428395365963E-3</v>
      </c>
      <c r="P9" s="54"/>
      <c r="Q9" s="54"/>
      <c r="R9" s="58"/>
      <c r="S9" s="58"/>
    </row>
    <row r="10" spans="1:19" ht="15" customHeight="1" x14ac:dyDescent="0.2">
      <c r="A10" s="34" t="s">
        <v>5</v>
      </c>
      <c r="B10" s="34"/>
      <c r="C10" s="12">
        <f>((1+C9)^(90/365)-1)*365/90</f>
        <v>3.7505647048115688E-2</v>
      </c>
      <c r="D10" s="74">
        <f t="shared" si="2"/>
        <v>6</v>
      </c>
      <c r="E10" s="55">
        <v>44899</v>
      </c>
      <c r="F10" s="45">
        <f t="shared" ref="F10:F16" si="8">E10-$E$3</f>
        <v>473</v>
      </c>
      <c r="G10" s="90">
        <f t="shared" si="3"/>
        <v>0.04</v>
      </c>
      <c r="H10" s="54">
        <v>0</v>
      </c>
      <c r="I10" s="29">
        <f t="shared" ref="I10:I14" si="9">+YEARFRAC(E9,E10,3)*(G10)*100</f>
        <v>0.99726027397260275</v>
      </c>
      <c r="J10" s="54">
        <f t="shared" ref="J10:J15" si="10">I10</f>
        <v>0.99726027397260275</v>
      </c>
      <c r="K10" s="94">
        <f t="shared" si="5"/>
        <v>84.527780821917816</v>
      </c>
      <c r="L10" s="106">
        <f>'CT Barragan'!$G$11</f>
        <v>84.76</v>
      </c>
      <c r="M10" s="107">
        <f>+K10/(((1+'CT Barragan'!$G$22*90/365)^(365/90))^(('Clase 2 UVA'!E10-'Clase 2 UVA'!$E$3)/365))</f>
        <v>80.536271001054871</v>
      </c>
      <c r="N10" s="46">
        <f t="shared" si="1"/>
        <v>0.98016052003249676</v>
      </c>
      <c r="O10" s="49">
        <f t="shared" ref="O10:O11" si="11">N10/100</f>
        <v>9.8016052003249681E-3</v>
      </c>
      <c r="P10" s="54"/>
      <c r="Q10" s="54"/>
      <c r="R10" s="58"/>
      <c r="S10" s="58"/>
    </row>
    <row r="11" spans="1:19" ht="15" customHeight="1" x14ac:dyDescent="0.2">
      <c r="D11" s="74">
        <f t="shared" si="2"/>
        <v>7</v>
      </c>
      <c r="E11" s="55">
        <v>44989</v>
      </c>
      <c r="F11" s="45">
        <f t="shared" si="8"/>
        <v>563</v>
      </c>
      <c r="G11" s="90">
        <f t="shared" si="3"/>
        <v>0.04</v>
      </c>
      <c r="H11" s="54">
        <v>0</v>
      </c>
      <c r="I11" s="29">
        <f t="shared" si="9"/>
        <v>0.98630136986301364</v>
      </c>
      <c r="J11" s="54">
        <f t="shared" si="10"/>
        <v>0.98630136986301364</v>
      </c>
      <c r="K11" s="94">
        <f t="shared" si="5"/>
        <v>83.598904109589043</v>
      </c>
      <c r="L11" s="106">
        <f>'CT Barragan'!$G$11</f>
        <v>84.76</v>
      </c>
      <c r="M11" s="107">
        <f>+K11/(((1+'CT Barragan'!$G$22*90/365)^(365/90))^(('Clase 2 UVA'!E11-'Clase 2 UVA'!$E$3)/365))</f>
        <v>78.921503406620332</v>
      </c>
      <c r="N11" s="46">
        <f t="shared" si="1"/>
        <v>0.96620461749489617</v>
      </c>
      <c r="O11" s="49">
        <f t="shared" si="11"/>
        <v>9.6620461749489621E-3</v>
      </c>
      <c r="P11" s="54"/>
      <c r="Q11" s="54"/>
      <c r="R11" s="58"/>
      <c r="S11" s="58"/>
    </row>
    <row r="12" spans="1:19" ht="15" customHeight="1" x14ac:dyDescent="0.2">
      <c r="A12" s="34" t="s">
        <v>23</v>
      </c>
      <c r="B12" s="34"/>
      <c r="C12" s="50">
        <f>+SUMPRODUCT(O5:O16,F5:F16)/N4/365</f>
        <v>2.646152829249155</v>
      </c>
      <c r="D12" s="74">
        <f t="shared" si="2"/>
        <v>8</v>
      </c>
      <c r="E12" s="55">
        <v>45081</v>
      </c>
      <c r="F12" s="45">
        <f t="shared" si="0"/>
        <v>655</v>
      </c>
      <c r="G12" s="90">
        <f t="shared" si="3"/>
        <v>0.04</v>
      </c>
      <c r="H12" s="54">
        <v>0</v>
      </c>
      <c r="I12" s="29">
        <f t="shared" si="9"/>
        <v>1.0082191780821919</v>
      </c>
      <c r="J12" s="54">
        <f t="shared" si="10"/>
        <v>1.0082191780821919</v>
      </c>
      <c r="K12" s="94">
        <f t="shared" si="5"/>
        <v>85.456657534246588</v>
      </c>
      <c r="L12" s="106">
        <f>'CT Barragan'!$G$11</f>
        <v>84.76</v>
      </c>
      <c r="M12" s="107">
        <f>+K12/(((1+'CT Barragan'!$G$22*90/365)^(365/90))^(('Clase 2 UVA'!E12-'Clase 2 UVA'!$E$3)/365))</f>
        <v>79.919830598014386</v>
      </c>
      <c r="N12" s="46">
        <f t="shared" ref="N12:N15" si="12">+J12/((1+$C$9)^(F12/$F$16))</f>
        <v>0.98435885454993532</v>
      </c>
      <c r="O12" s="49">
        <f t="shared" ref="O12:O15" si="13">N12/100</f>
        <v>9.8435885454993526E-3</v>
      </c>
      <c r="P12" s="54"/>
      <c r="Q12" s="54"/>
      <c r="R12" s="58"/>
      <c r="S12" s="58"/>
    </row>
    <row r="13" spans="1:19" ht="15" customHeight="1" x14ac:dyDescent="0.2">
      <c r="A13" s="34" t="s">
        <v>24</v>
      </c>
      <c r="B13" s="44">
        <f>+C13*365</f>
        <v>1021.0000000000001</v>
      </c>
      <c r="C13" s="59">
        <f>+(E16-E3)/365</f>
        <v>2.7972602739726029</v>
      </c>
      <c r="D13" s="74">
        <f t="shared" si="2"/>
        <v>9</v>
      </c>
      <c r="E13" s="55">
        <v>45173</v>
      </c>
      <c r="F13" s="45">
        <f t="shared" si="8"/>
        <v>747</v>
      </c>
      <c r="G13" s="90">
        <f t="shared" si="3"/>
        <v>0.04</v>
      </c>
      <c r="H13" s="54">
        <v>0</v>
      </c>
      <c r="I13" s="29">
        <f t="shared" si="9"/>
        <v>1.0082191780821919</v>
      </c>
      <c r="J13" s="54">
        <f t="shared" si="10"/>
        <v>1.0082191780821919</v>
      </c>
      <c r="K13" s="94">
        <f t="shared" si="5"/>
        <v>85.456657534246588</v>
      </c>
      <c r="L13" s="106">
        <f>'CT Barragan'!$G$11</f>
        <v>84.76</v>
      </c>
      <c r="M13" s="107">
        <f>+K13/(((1+'CT Barragan'!$G$22*90/365)^(365/90))^(('Clase 2 UVA'!E13-'Clase 2 UVA'!$E$3)/365))</f>
        <v>79.171421332581289</v>
      </c>
      <c r="N13" s="46">
        <f t="shared" si="12"/>
        <v>0.98105301750364204</v>
      </c>
      <c r="O13" s="49">
        <f t="shared" si="13"/>
        <v>9.8105301750364207E-3</v>
      </c>
      <c r="P13" s="54"/>
      <c r="Q13" s="54"/>
      <c r="R13" s="58"/>
      <c r="S13" s="58"/>
    </row>
    <row r="14" spans="1:19" ht="15" customHeight="1" x14ac:dyDescent="0.2">
      <c r="A14" s="34"/>
      <c r="B14" s="34"/>
      <c r="C14" s="33"/>
      <c r="D14" s="74">
        <f t="shared" si="2"/>
        <v>10</v>
      </c>
      <c r="E14" s="55">
        <v>45264</v>
      </c>
      <c r="F14" s="45">
        <f t="shared" si="8"/>
        <v>838</v>
      </c>
      <c r="G14" s="90">
        <f t="shared" si="3"/>
        <v>0.04</v>
      </c>
      <c r="H14" s="54">
        <v>0</v>
      </c>
      <c r="I14" s="29">
        <f t="shared" si="9"/>
        <v>0.99726027397260275</v>
      </c>
      <c r="J14" s="54">
        <f t="shared" si="10"/>
        <v>0.99726027397260275</v>
      </c>
      <c r="K14" s="94">
        <f t="shared" si="5"/>
        <v>84.527780821917816</v>
      </c>
      <c r="L14" s="106">
        <f>'CT Barragan'!$G$11</f>
        <v>84.76</v>
      </c>
      <c r="M14" s="107">
        <f>+K14/(((1+'CT Barragan'!$G$22*90/365)^(365/90))^(('Clase 2 UVA'!E14-'Clase 2 UVA'!$E$3)/365))</f>
        <v>77.585454398006306</v>
      </c>
      <c r="N14" s="46">
        <f t="shared" si="12"/>
        <v>0.96716583941561063</v>
      </c>
      <c r="O14" s="49">
        <f t="shared" si="13"/>
        <v>9.6716583941561067E-3</v>
      </c>
      <c r="P14" s="54"/>
      <c r="Q14" s="54"/>
      <c r="R14" s="58"/>
      <c r="S14" s="58"/>
    </row>
    <row r="15" spans="1:19" ht="24" customHeight="1" x14ac:dyDescent="0.2">
      <c r="A15" s="34"/>
      <c r="B15" s="34"/>
      <c r="C15" s="33"/>
      <c r="D15" s="74">
        <f t="shared" si="2"/>
        <v>11</v>
      </c>
      <c r="E15" s="55">
        <v>45355</v>
      </c>
      <c r="F15" s="45">
        <f t="shared" si="0"/>
        <v>929</v>
      </c>
      <c r="G15" s="90">
        <f t="shared" si="3"/>
        <v>0.04</v>
      </c>
      <c r="H15" s="54">
        <v>0</v>
      </c>
      <c r="I15" s="29">
        <f>+YEARFRAC(E14,E15,3)*(G15)*100</f>
        <v>0.99726027397260275</v>
      </c>
      <c r="J15" s="54">
        <f t="shared" si="10"/>
        <v>0.99726027397260275</v>
      </c>
      <c r="K15" s="94">
        <f t="shared" si="5"/>
        <v>84.527780821917816</v>
      </c>
      <c r="L15" s="106">
        <f>'CT Barragan'!$G$11</f>
        <v>84.76</v>
      </c>
      <c r="M15" s="107">
        <f>+K15/(((1+'CT Barragan'!$G$22*90/365)^(365/90))^(('Clase 2 UVA'!E15-'Clase 2 UVA'!$E$3)/365))</f>
        <v>76.866765979539139</v>
      </c>
      <c r="N15" s="46">
        <f t="shared" si="12"/>
        <v>0.96395298949387065</v>
      </c>
      <c r="O15" s="49">
        <f t="shared" si="13"/>
        <v>9.6395298949387073E-3</v>
      </c>
      <c r="P15" s="54"/>
      <c r="Q15" s="54"/>
      <c r="R15" s="58"/>
      <c r="S15" s="58"/>
    </row>
    <row r="16" spans="1:19" ht="15" customHeight="1" x14ac:dyDescent="0.2">
      <c r="D16" s="74">
        <f t="shared" si="2"/>
        <v>12</v>
      </c>
      <c r="E16" s="55">
        <v>45447</v>
      </c>
      <c r="F16" s="45">
        <f t="shared" si="8"/>
        <v>1021</v>
      </c>
      <c r="G16" s="90">
        <f t="shared" si="3"/>
        <v>0.04</v>
      </c>
      <c r="H16" s="54">
        <v>100</v>
      </c>
      <c r="I16" s="29">
        <f>+YEARFRAC(E15,E16,3)*(G16)*100</f>
        <v>1.0082191780821919</v>
      </c>
      <c r="J16" s="54">
        <f>I16+100</f>
        <v>101.00821917808219</v>
      </c>
      <c r="K16" s="94">
        <f t="shared" si="5"/>
        <v>8561.4566575342469</v>
      </c>
      <c r="L16" s="106">
        <f>'CT Barragan'!$G$11</f>
        <v>84.76</v>
      </c>
      <c r="M16" s="107">
        <f>+K16/(((1+'CT Barragan'!$G$22*90/365)^(365/90))^(('Clase 2 UVA'!E16-'Clase 2 UVA'!$E$3)/365))</f>
        <v>7712.5979315667291</v>
      </c>
      <c r="N16" s="46">
        <f>+J16/((1+$C$9)^(F16/$F$16))</f>
        <v>97.306774158446615</v>
      </c>
      <c r="O16" s="49">
        <f>N16/100</f>
        <v>0.97306774158446618</v>
      </c>
      <c r="P16" s="54"/>
      <c r="Q16" s="54"/>
      <c r="R16" s="58"/>
      <c r="S16" s="58"/>
    </row>
    <row r="17" spans="4:17" ht="15" customHeight="1" x14ac:dyDescent="0.2">
      <c r="D17" s="74"/>
      <c r="M17" s="107"/>
      <c r="N17" s="46"/>
      <c r="O17" s="49">
        <f t="shared" ref="O17" si="14">N17/100</f>
        <v>0</v>
      </c>
      <c r="Q17" s="54"/>
    </row>
    <row r="18" spans="4:17" ht="15" customHeight="1" x14ac:dyDescent="0.2">
      <c r="D18" s="74"/>
    </row>
    <row r="19" spans="4:17" ht="15" customHeight="1" x14ac:dyDescent="0.2">
      <c r="D19" s="74"/>
    </row>
    <row r="20" spans="4:17" s="42" customFormat="1" ht="15" customHeight="1" x14ac:dyDescent="0.2">
      <c r="D20" s="77"/>
      <c r="K20" s="105"/>
      <c r="L20" s="99"/>
      <c r="M20" s="92"/>
    </row>
    <row r="21" spans="4:17" ht="15" customHeight="1" x14ac:dyDescent="0.2">
      <c r="D21" s="74"/>
    </row>
    <row r="22" spans="4:17" ht="15" customHeight="1" x14ac:dyDescent="0.2">
      <c r="D22" s="74"/>
    </row>
    <row r="23" spans="4:17" ht="15" customHeight="1" x14ac:dyDescent="0.2"/>
    <row r="24" spans="4:17" ht="15" customHeight="1" x14ac:dyDescent="0.2"/>
    <row r="25" spans="4:17" ht="15" customHeight="1" x14ac:dyDescent="0.2"/>
    <row r="26" spans="4:17" ht="15" customHeight="1" x14ac:dyDescent="0.2"/>
    <row r="27" spans="4:17" ht="15" customHeight="1" x14ac:dyDescent="0.2"/>
    <row r="28" spans="4:17" ht="15" customHeight="1" x14ac:dyDescent="0.2"/>
    <row r="29" spans="4:17" ht="15" customHeight="1" x14ac:dyDescent="0.2"/>
    <row r="30" spans="4:17" ht="15" customHeight="1" x14ac:dyDescent="0.2"/>
    <row r="31" spans="4:17" ht="15" customHeight="1" x14ac:dyDescent="0.2"/>
    <row r="32" spans="4:17" ht="15" customHeight="1" x14ac:dyDescent="0.2"/>
  </sheetData>
  <sheetProtection algorithmName="SHA-512" hashValue="FUuzismzQXWXv9oeoqMagr59e+YhtR8BJIv2U1Uyzr/WeuzHv+e6DuCPU4MF/a9jFu5UEZbvvT1OQt30XN2E6w==" saltValue="4fp2pI9nTRyGnx9on4503Q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D230"/>
  <sheetViews>
    <sheetView topLeftCell="A176" workbookViewId="0">
      <selection activeCell="A176" sqref="A1:XFD1048576"/>
    </sheetView>
  </sheetViews>
  <sheetFormatPr baseColWidth="10" defaultColWidth="10.85546875" defaultRowHeight="12" x14ac:dyDescent="0.2"/>
  <cols>
    <col min="1" max="2" width="10.85546875" style="25"/>
    <col min="3" max="3" width="10.85546875" style="80"/>
    <col min="4" max="16384" width="10.85546875" style="25"/>
  </cols>
  <sheetData>
    <row r="3" spans="3:4" x14ac:dyDescent="0.2">
      <c r="C3" s="79" t="s">
        <v>20</v>
      </c>
      <c r="D3" s="18" t="s">
        <v>13</v>
      </c>
    </row>
    <row r="4" spans="3:4" x14ac:dyDescent="0.2">
      <c r="C4" s="80">
        <v>44197</v>
      </c>
      <c r="D4" s="25">
        <v>64.38</v>
      </c>
    </row>
    <row r="5" spans="3:4" x14ac:dyDescent="0.2">
      <c r="C5" s="80">
        <v>44198</v>
      </c>
      <c r="D5" s="25">
        <v>64.38</v>
      </c>
    </row>
    <row r="6" spans="3:4" x14ac:dyDescent="0.2">
      <c r="C6" s="80">
        <v>44199</v>
      </c>
      <c r="D6" s="25">
        <v>64.38</v>
      </c>
    </row>
    <row r="7" spans="3:4" x14ac:dyDescent="0.2">
      <c r="C7" s="80">
        <v>44200</v>
      </c>
      <c r="D7" s="25">
        <v>64.38</v>
      </c>
    </row>
    <row r="8" spans="3:4" x14ac:dyDescent="0.2">
      <c r="C8" s="80">
        <v>44201</v>
      </c>
      <c r="D8" s="25">
        <v>64.64</v>
      </c>
    </row>
    <row r="9" spans="3:4" x14ac:dyDescent="0.2">
      <c r="C9" s="80">
        <v>44202</v>
      </c>
      <c r="D9" s="25">
        <v>64.709999999999994</v>
      </c>
    </row>
    <row r="10" spans="3:4" x14ac:dyDescent="0.2">
      <c r="C10" s="80">
        <v>44203</v>
      </c>
      <c r="D10" s="25">
        <v>64.78</v>
      </c>
    </row>
    <row r="11" spans="3:4" x14ac:dyDescent="0.2">
      <c r="C11" s="80">
        <v>44204</v>
      </c>
      <c r="D11" s="25">
        <v>64.84</v>
      </c>
    </row>
    <row r="12" spans="3:4" x14ac:dyDescent="0.2">
      <c r="C12" s="80">
        <v>44205</v>
      </c>
      <c r="D12" s="25">
        <v>64.91</v>
      </c>
    </row>
    <row r="13" spans="3:4" x14ac:dyDescent="0.2">
      <c r="C13" s="80">
        <v>44206</v>
      </c>
      <c r="D13" s="25">
        <v>64.91</v>
      </c>
    </row>
    <row r="14" spans="3:4" x14ac:dyDescent="0.2">
      <c r="C14" s="80">
        <v>44207</v>
      </c>
      <c r="D14" s="25">
        <v>64.91</v>
      </c>
    </row>
    <row r="15" spans="3:4" x14ac:dyDescent="0.2">
      <c r="C15" s="80">
        <v>44208</v>
      </c>
      <c r="D15" s="25">
        <v>65.11</v>
      </c>
    </row>
    <row r="16" spans="3:4" x14ac:dyDescent="0.2">
      <c r="C16" s="80">
        <v>44209</v>
      </c>
      <c r="D16" s="25">
        <v>65.17</v>
      </c>
    </row>
    <row r="17" spans="3:4" x14ac:dyDescent="0.2">
      <c r="C17" s="80">
        <v>44210</v>
      </c>
      <c r="D17" s="25">
        <v>65.239999999999995</v>
      </c>
    </row>
    <row r="18" spans="3:4" x14ac:dyDescent="0.2">
      <c r="C18" s="80">
        <v>44211</v>
      </c>
      <c r="D18" s="25">
        <v>65.3</v>
      </c>
    </row>
    <row r="19" spans="3:4" x14ac:dyDescent="0.2">
      <c r="C19" s="80">
        <v>44212</v>
      </c>
      <c r="D19" s="25">
        <v>65.37</v>
      </c>
    </row>
    <row r="20" spans="3:4" x14ac:dyDescent="0.2">
      <c r="C20" s="80">
        <v>44213</v>
      </c>
      <c r="D20" s="25">
        <v>65.37</v>
      </c>
    </row>
    <row r="21" spans="3:4" x14ac:dyDescent="0.2">
      <c r="C21" s="80">
        <v>44214</v>
      </c>
      <c r="D21" s="25">
        <v>65.37</v>
      </c>
    </row>
    <row r="22" spans="3:4" x14ac:dyDescent="0.2">
      <c r="C22" s="80">
        <v>44215</v>
      </c>
      <c r="D22" s="25">
        <v>65.62</v>
      </c>
    </row>
    <row r="23" spans="3:4" x14ac:dyDescent="0.2">
      <c r="C23" s="80">
        <v>44216</v>
      </c>
      <c r="D23" s="25">
        <v>65.7</v>
      </c>
    </row>
    <row r="24" spans="3:4" x14ac:dyDescent="0.2">
      <c r="C24" s="80">
        <v>44217</v>
      </c>
      <c r="D24" s="25">
        <v>65.790000000000006</v>
      </c>
    </row>
    <row r="25" spans="3:4" x14ac:dyDescent="0.2">
      <c r="C25" s="80">
        <v>44218</v>
      </c>
      <c r="D25" s="25">
        <v>65.87</v>
      </c>
    </row>
    <row r="26" spans="3:4" x14ac:dyDescent="0.2">
      <c r="C26" s="80">
        <v>44219</v>
      </c>
      <c r="D26" s="25">
        <v>65.95</v>
      </c>
    </row>
    <row r="27" spans="3:4" x14ac:dyDescent="0.2">
      <c r="C27" s="80">
        <v>44220</v>
      </c>
      <c r="D27" s="25">
        <v>65.95</v>
      </c>
    </row>
    <row r="28" spans="3:4" x14ac:dyDescent="0.2">
      <c r="C28" s="80">
        <v>44221</v>
      </c>
      <c r="D28" s="25">
        <v>65.95</v>
      </c>
    </row>
    <row r="29" spans="3:4" x14ac:dyDescent="0.2">
      <c r="C29" s="80">
        <v>44222</v>
      </c>
      <c r="D29" s="25">
        <v>66.2</v>
      </c>
    </row>
    <row r="30" spans="3:4" x14ac:dyDescent="0.2">
      <c r="C30" s="80">
        <v>44223</v>
      </c>
      <c r="D30" s="25">
        <v>66.290000000000006</v>
      </c>
    </row>
    <row r="31" spans="3:4" x14ac:dyDescent="0.2">
      <c r="C31" s="80">
        <v>44224</v>
      </c>
      <c r="D31" s="25">
        <v>66.37</v>
      </c>
    </row>
    <row r="32" spans="3:4" x14ac:dyDescent="0.2">
      <c r="C32" s="80">
        <v>44225</v>
      </c>
      <c r="D32" s="25">
        <v>66.45</v>
      </c>
    </row>
    <row r="33" spans="3:4" x14ac:dyDescent="0.2">
      <c r="C33" s="80">
        <v>44226</v>
      </c>
      <c r="D33" s="25">
        <v>66.540000000000006</v>
      </c>
    </row>
    <row r="34" spans="3:4" x14ac:dyDescent="0.2">
      <c r="C34" s="80">
        <v>44227</v>
      </c>
      <c r="D34" s="25">
        <v>66.540000000000006</v>
      </c>
    </row>
    <row r="35" spans="3:4" x14ac:dyDescent="0.2">
      <c r="C35" s="80">
        <v>44228</v>
      </c>
      <c r="D35" s="25">
        <v>66.540000000000006</v>
      </c>
    </row>
    <row r="36" spans="3:4" x14ac:dyDescent="0.2">
      <c r="C36" s="80">
        <v>44229</v>
      </c>
      <c r="D36" s="25">
        <v>66.790000000000006</v>
      </c>
    </row>
    <row r="37" spans="3:4" x14ac:dyDescent="0.2">
      <c r="C37" s="80">
        <v>44230</v>
      </c>
      <c r="D37" s="25">
        <v>66.88</v>
      </c>
    </row>
    <row r="38" spans="3:4" x14ac:dyDescent="0.2">
      <c r="C38" s="80">
        <v>44231</v>
      </c>
      <c r="D38" s="25">
        <v>66.959999999999994</v>
      </c>
    </row>
    <row r="39" spans="3:4" x14ac:dyDescent="0.2">
      <c r="C39" s="80">
        <v>44232</v>
      </c>
      <c r="D39" s="25">
        <v>67.05</v>
      </c>
    </row>
    <row r="40" spans="3:4" x14ac:dyDescent="0.2">
      <c r="C40" s="80">
        <v>44233</v>
      </c>
      <c r="D40" s="25">
        <v>67.13</v>
      </c>
    </row>
    <row r="41" spans="3:4" x14ac:dyDescent="0.2">
      <c r="C41" s="80">
        <v>44234</v>
      </c>
      <c r="D41" s="25">
        <v>67.13</v>
      </c>
    </row>
    <row r="42" spans="3:4" x14ac:dyDescent="0.2">
      <c r="C42" s="80">
        <v>44235</v>
      </c>
      <c r="D42" s="25">
        <v>67.13</v>
      </c>
    </row>
    <row r="43" spans="3:4" x14ac:dyDescent="0.2">
      <c r="C43" s="80">
        <v>44236</v>
      </c>
      <c r="D43" s="25">
        <v>67.39</v>
      </c>
    </row>
    <row r="44" spans="3:4" x14ac:dyDescent="0.2">
      <c r="C44" s="80">
        <v>44237</v>
      </c>
      <c r="D44" s="25">
        <v>67.47</v>
      </c>
    </row>
    <row r="45" spans="3:4" x14ac:dyDescent="0.2">
      <c r="C45" s="80">
        <v>44238</v>
      </c>
      <c r="D45" s="25">
        <v>67.56</v>
      </c>
    </row>
    <row r="46" spans="3:4" x14ac:dyDescent="0.2">
      <c r="C46" s="80">
        <v>44239</v>
      </c>
      <c r="D46" s="25">
        <v>67.64</v>
      </c>
    </row>
    <row r="47" spans="3:4" x14ac:dyDescent="0.2">
      <c r="C47" s="80">
        <v>44240</v>
      </c>
      <c r="D47" s="25">
        <v>67.73</v>
      </c>
    </row>
    <row r="48" spans="3:4" x14ac:dyDescent="0.2">
      <c r="C48" s="80">
        <v>44241</v>
      </c>
      <c r="D48" s="25">
        <v>67.73</v>
      </c>
    </row>
    <row r="49" spans="3:4" x14ac:dyDescent="0.2">
      <c r="C49" s="80">
        <v>44242</v>
      </c>
      <c r="D49" s="25">
        <v>67.73</v>
      </c>
    </row>
    <row r="50" spans="3:4" x14ac:dyDescent="0.2">
      <c r="C50" s="80">
        <v>44243</v>
      </c>
      <c r="D50" s="25">
        <v>67.73</v>
      </c>
    </row>
    <row r="51" spans="3:4" x14ac:dyDescent="0.2">
      <c r="C51" s="80">
        <v>44244</v>
      </c>
      <c r="D51" s="25">
        <v>67.73</v>
      </c>
    </row>
    <row r="52" spans="3:4" x14ac:dyDescent="0.2">
      <c r="C52" s="80">
        <v>44245</v>
      </c>
      <c r="D52" s="25">
        <v>68.180000000000007</v>
      </c>
    </row>
    <row r="53" spans="3:4" x14ac:dyDescent="0.2">
      <c r="C53" s="80">
        <v>44246</v>
      </c>
      <c r="D53" s="25">
        <v>68.27</v>
      </c>
    </row>
    <row r="54" spans="3:4" x14ac:dyDescent="0.2">
      <c r="C54" s="80">
        <v>44247</v>
      </c>
      <c r="D54" s="25">
        <v>68.37</v>
      </c>
    </row>
    <row r="55" spans="3:4" x14ac:dyDescent="0.2">
      <c r="C55" s="80">
        <v>44248</v>
      </c>
      <c r="D55" s="25">
        <v>68.37</v>
      </c>
    </row>
    <row r="56" spans="3:4" x14ac:dyDescent="0.2">
      <c r="C56" s="80">
        <v>44249</v>
      </c>
      <c r="D56" s="25">
        <v>68.37</v>
      </c>
    </row>
    <row r="57" spans="3:4" x14ac:dyDescent="0.2">
      <c r="C57" s="80">
        <v>44250</v>
      </c>
      <c r="D57" s="25">
        <v>68.650000000000006</v>
      </c>
    </row>
    <row r="58" spans="3:4" x14ac:dyDescent="0.2">
      <c r="C58" s="80">
        <v>44251</v>
      </c>
      <c r="D58" s="25">
        <v>68.75</v>
      </c>
    </row>
    <row r="59" spans="3:4" x14ac:dyDescent="0.2">
      <c r="C59" s="80">
        <v>44252</v>
      </c>
      <c r="D59" s="25">
        <v>68.849999999999994</v>
      </c>
    </row>
    <row r="60" spans="3:4" x14ac:dyDescent="0.2">
      <c r="C60" s="80">
        <v>44253</v>
      </c>
      <c r="D60" s="25">
        <v>68.94</v>
      </c>
    </row>
    <row r="61" spans="3:4" x14ac:dyDescent="0.2">
      <c r="C61" s="80">
        <v>44254</v>
      </c>
      <c r="D61" s="25">
        <v>69.040000000000006</v>
      </c>
    </row>
    <row r="62" spans="3:4" x14ac:dyDescent="0.2">
      <c r="C62" s="80">
        <v>44255</v>
      </c>
      <c r="D62" s="25">
        <v>69.040000000000006</v>
      </c>
    </row>
    <row r="63" spans="3:4" x14ac:dyDescent="0.2">
      <c r="C63" s="80">
        <v>44256</v>
      </c>
      <c r="D63" s="25">
        <v>69.040000000000006</v>
      </c>
    </row>
    <row r="64" spans="3:4" x14ac:dyDescent="0.2">
      <c r="C64" s="80">
        <v>44257</v>
      </c>
      <c r="D64" s="25">
        <v>69.33</v>
      </c>
    </row>
    <row r="65" spans="3:4" x14ac:dyDescent="0.2">
      <c r="C65" s="80">
        <v>44258</v>
      </c>
      <c r="D65" s="25">
        <v>69.430000000000007</v>
      </c>
    </row>
    <row r="66" spans="3:4" x14ac:dyDescent="0.2">
      <c r="C66" s="80">
        <v>44259</v>
      </c>
      <c r="D66" s="25">
        <v>69.53</v>
      </c>
    </row>
    <row r="67" spans="3:4" x14ac:dyDescent="0.2">
      <c r="C67" s="80">
        <v>44260</v>
      </c>
      <c r="D67" s="25">
        <v>69.62</v>
      </c>
    </row>
    <row r="68" spans="3:4" x14ac:dyDescent="0.2">
      <c r="C68" s="80">
        <v>44261</v>
      </c>
      <c r="D68" s="25">
        <v>69.72</v>
      </c>
    </row>
    <row r="69" spans="3:4" x14ac:dyDescent="0.2">
      <c r="C69" s="80">
        <v>44262</v>
      </c>
      <c r="D69" s="25">
        <v>69.72</v>
      </c>
    </row>
    <row r="70" spans="3:4" x14ac:dyDescent="0.2">
      <c r="C70" s="80">
        <v>44263</v>
      </c>
      <c r="D70" s="25">
        <v>69.72</v>
      </c>
    </row>
    <row r="71" spans="3:4" x14ac:dyDescent="0.2">
      <c r="C71" s="80">
        <v>44264</v>
      </c>
      <c r="D71" s="25">
        <v>70.010000000000005</v>
      </c>
    </row>
    <row r="72" spans="3:4" x14ac:dyDescent="0.2">
      <c r="C72" s="80">
        <v>44265</v>
      </c>
      <c r="D72" s="25">
        <v>70.11</v>
      </c>
    </row>
    <row r="73" spans="3:4" x14ac:dyDescent="0.2">
      <c r="C73" s="80">
        <v>44266</v>
      </c>
      <c r="D73" s="25">
        <v>70.209999999999994</v>
      </c>
    </row>
    <row r="74" spans="3:4" x14ac:dyDescent="0.2">
      <c r="C74" s="80">
        <v>44267</v>
      </c>
      <c r="D74" s="25">
        <v>70.31</v>
      </c>
    </row>
    <row r="75" spans="3:4" x14ac:dyDescent="0.2">
      <c r="C75" s="80">
        <v>44268</v>
      </c>
      <c r="D75" s="25">
        <v>70.41</v>
      </c>
    </row>
    <row r="76" spans="3:4" x14ac:dyDescent="0.2">
      <c r="C76" s="80">
        <v>44269</v>
      </c>
      <c r="D76" s="25">
        <v>70.41</v>
      </c>
    </row>
    <row r="77" spans="3:4" x14ac:dyDescent="0.2">
      <c r="C77" s="80">
        <v>44270</v>
      </c>
      <c r="D77" s="25">
        <v>70.41</v>
      </c>
    </row>
    <row r="78" spans="3:4" x14ac:dyDescent="0.2">
      <c r="C78" s="80">
        <v>44271</v>
      </c>
      <c r="D78" s="25">
        <v>70.7</v>
      </c>
    </row>
    <row r="79" spans="3:4" x14ac:dyDescent="0.2">
      <c r="C79" s="80">
        <v>44272</v>
      </c>
      <c r="D79" s="25">
        <v>70.790000000000006</v>
      </c>
    </row>
    <row r="80" spans="3:4" x14ac:dyDescent="0.2">
      <c r="C80" s="80">
        <v>44273</v>
      </c>
      <c r="D80" s="25">
        <v>70.87</v>
      </c>
    </row>
    <row r="81" spans="3:4" x14ac:dyDescent="0.2">
      <c r="C81" s="80">
        <v>44274</v>
      </c>
      <c r="D81" s="25">
        <v>70.95</v>
      </c>
    </row>
    <row r="82" spans="3:4" x14ac:dyDescent="0.2">
      <c r="C82" s="80">
        <v>44275</v>
      </c>
      <c r="D82" s="25">
        <v>71.03</v>
      </c>
    </row>
    <row r="83" spans="3:4" x14ac:dyDescent="0.2">
      <c r="C83" s="80">
        <v>44276</v>
      </c>
      <c r="D83" s="25">
        <v>71.03</v>
      </c>
    </row>
    <row r="84" spans="3:4" x14ac:dyDescent="0.2">
      <c r="C84" s="80">
        <v>44277</v>
      </c>
      <c r="D84" s="25">
        <v>71.03</v>
      </c>
    </row>
    <row r="85" spans="3:4" x14ac:dyDescent="0.2">
      <c r="C85" s="80">
        <v>44278</v>
      </c>
      <c r="D85" s="25">
        <v>71.27</v>
      </c>
    </row>
    <row r="86" spans="3:4" x14ac:dyDescent="0.2">
      <c r="C86" s="80">
        <v>44279</v>
      </c>
      <c r="D86" s="25">
        <v>71.349999999999994</v>
      </c>
    </row>
    <row r="87" spans="3:4" x14ac:dyDescent="0.2">
      <c r="C87" s="80">
        <v>44280</v>
      </c>
      <c r="D87" s="25">
        <v>71.349999999999994</v>
      </c>
    </row>
    <row r="88" spans="3:4" x14ac:dyDescent="0.2">
      <c r="C88" s="80">
        <v>44281</v>
      </c>
      <c r="D88" s="25">
        <v>71.52</v>
      </c>
    </row>
    <row r="89" spans="3:4" x14ac:dyDescent="0.2">
      <c r="C89" s="80">
        <v>44282</v>
      </c>
      <c r="D89" s="25">
        <v>71.599999999999994</v>
      </c>
    </row>
    <row r="90" spans="3:4" x14ac:dyDescent="0.2">
      <c r="C90" s="80">
        <v>44283</v>
      </c>
      <c r="D90" s="25">
        <v>71.599999999999994</v>
      </c>
    </row>
    <row r="91" spans="3:4" x14ac:dyDescent="0.2">
      <c r="C91" s="80">
        <v>44284</v>
      </c>
      <c r="D91" s="25">
        <v>71.599999999999994</v>
      </c>
    </row>
    <row r="92" spans="3:4" x14ac:dyDescent="0.2">
      <c r="C92" s="80">
        <v>44285</v>
      </c>
      <c r="D92" s="25">
        <v>71.84</v>
      </c>
    </row>
    <row r="93" spans="3:4" x14ac:dyDescent="0.2">
      <c r="C93" s="80">
        <v>44286</v>
      </c>
      <c r="D93" s="25">
        <v>71.92</v>
      </c>
    </row>
    <row r="94" spans="3:4" x14ac:dyDescent="0.2">
      <c r="C94" s="80">
        <v>44287</v>
      </c>
      <c r="D94" s="25">
        <v>72.010000000000005</v>
      </c>
    </row>
    <row r="95" spans="3:4" x14ac:dyDescent="0.2">
      <c r="C95" s="80">
        <v>44288</v>
      </c>
      <c r="D95" s="25">
        <v>72.010000000000005</v>
      </c>
    </row>
    <row r="96" spans="3:4" x14ac:dyDescent="0.2">
      <c r="C96" s="80">
        <v>44289</v>
      </c>
      <c r="D96" s="25">
        <v>72.010000000000005</v>
      </c>
    </row>
    <row r="97" spans="3:4" x14ac:dyDescent="0.2">
      <c r="C97" s="80">
        <v>44290</v>
      </c>
      <c r="D97" s="25">
        <v>72.010000000000005</v>
      </c>
    </row>
    <row r="98" spans="3:4" x14ac:dyDescent="0.2">
      <c r="C98" s="80">
        <v>44291</v>
      </c>
      <c r="D98" s="25">
        <v>72.010000000000005</v>
      </c>
    </row>
    <row r="99" spans="3:4" x14ac:dyDescent="0.2">
      <c r="C99" s="80">
        <v>44292</v>
      </c>
      <c r="D99" s="25">
        <v>72.42</v>
      </c>
    </row>
    <row r="100" spans="3:4" x14ac:dyDescent="0.2">
      <c r="C100" s="80">
        <v>44293</v>
      </c>
      <c r="D100" s="25">
        <v>72.5</v>
      </c>
    </row>
    <row r="101" spans="3:4" x14ac:dyDescent="0.2">
      <c r="C101" s="80">
        <v>44294</v>
      </c>
      <c r="D101" s="25">
        <v>72.58</v>
      </c>
    </row>
    <row r="102" spans="3:4" x14ac:dyDescent="0.2">
      <c r="C102" s="80">
        <v>44295</v>
      </c>
      <c r="D102" s="25">
        <v>72.67</v>
      </c>
    </row>
    <row r="103" spans="3:4" x14ac:dyDescent="0.2">
      <c r="C103" s="80">
        <v>44296</v>
      </c>
      <c r="D103" s="25">
        <v>72.75</v>
      </c>
    </row>
    <row r="104" spans="3:4" x14ac:dyDescent="0.2">
      <c r="C104" s="80">
        <v>44297</v>
      </c>
      <c r="D104" s="25">
        <v>72.75</v>
      </c>
    </row>
    <row r="105" spans="3:4" x14ac:dyDescent="0.2">
      <c r="C105" s="80">
        <v>44298</v>
      </c>
      <c r="D105" s="25">
        <v>72.75</v>
      </c>
    </row>
    <row r="106" spans="3:4" x14ac:dyDescent="0.2">
      <c r="C106" s="80">
        <v>44299</v>
      </c>
      <c r="D106" s="25">
        <v>73</v>
      </c>
    </row>
    <row r="107" spans="3:4" x14ac:dyDescent="0.2">
      <c r="C107" s="80">
        <v>44300</v>
      </c>
      <c r="D107" s="25">
        <v>73.08</v>
      </c>
    </row>
    <row r="108" spans="3:4" x14ac:dyDescent="0.2">
      <c r="C108" s="80">
        <v>44301</v>
      </c>
      <c r="D108" s="25">
        <v>73.17</v>
      </c>
    </row>
    <row r="109" spans="3:4" x14ac:dyDescent="0.2">
      <c r="C109" s="80">
        <v>44302</v>
      </c>
      <c r="D109" s="25">
        <v>73.25</v>
      </c>
    </row>
    <row r="110" spans="3:4" x14ac:dyDescent="0.2">
      <c r="C110" s="80">
        <v>44303</v>
      </c>
      <c r="D110" s="25">
        <v>73.36</v>
      </c>
    </row>
    <row r="111" spans="3:4" x14ac:dyDescent="0.2">
      <c r="C111" s="80">
        <v>44304</v>
      </c>
      <c r="D111" s="25">
        <v>73.36</v>
      </c>
    </row>
    <row r="112" spans="3:4" x14ac:dyDescent="0.2">
      <c r="C112" s="80">
        <v>44305</v>
      </c>
      <c r="D112" s="25">
        <v>73.36</v>
      </c>
    </row>
    <row r="113" spans="3:4" x14ac:dyDescent="0.2">
      <c r="C113" s="80">
        <v>44306</v>
      </c>
      <c r="D113" s="25">
        <v>73.709999999999994</v>
      </c>
    </row>
    <row r="114" spans="3:4" x14ac:dyDescent="0.2">
      <c r="C114" s="80">
        <v>44307</v>
      </c>
      <c r="D114" s="25">
        <v>73.819999999999993</v>
      </c>
    </row>
    <row r="115" spans="3:4" x14ac:dyDescent="0.2">
      <c r="C115" s="80">
        <v>44308</v>
      </c>
      <c r="D115" s="25">
        <v>73.94</v>
      </c>
    </row>
    <row r="116" spans="3:4" x14ac:dyDescent="0.2">
      <c r="C116" s="80">
        <v>44309</v>
      </c>
      <c r="D116" s="25">
        <v>74.06</v>
      </c>
    </row>
    <row r="117" spans="3:4" x14ac:dyDescent="0.2">
      <c r="C117" s="80">
        <v>44310</v>
      </c>
      <c r="D117" s="25">
        <v>74.17</v>
      </c>
    </row>
    <row r="118" spans="3:4" x14ac:dyDescent="0.2">
      <c r="C118" s="80">
        <v>44311</v>
      </c>
      <c r="D118" s="25">
        <v>74.17</v>
      </c>
    </row>
    <row r="119" spans="3:4" x14ac:dyDescent="0.2">
      <c r="C119" s="80">
        <v>44312</v>
      </c>
      <c r="D119" s="25">
        <v>74.17</v>
      </c>
    </row>
    <row r="120" spans="3:4" x14ac:dyDescent="0.2">
      <c r="C120" s="80">
        <v>44313</v>
      </c>
      <c r="D120" s="25">
        <v>74.52</v>
      </c>
    </row>
    <row r="121" spans="3:4" x14ac:dyDescent="0.2">
      <c r="C121" s="80">
        <v>44314</v>
      </c>
      <c r="D121" s="25">
        <v>74.64</v>
      </c>
    </row>
    <row r="122" spans="3:4" x14ac:dyDescent="0.2">
      <c r="C122" s="80">
        <v>44315</v>
      </c>
      <c r="D122" s="25">
        <v>74.75</v>
      </c>
    </row>
    <row r="123" spans="3:4" x14ac:dyDescent="0.2">
      <c r="C123" s="80">
        <v>44316</v>
      </c>
      <c r="D123" s="25">
        <v>74.87</v>
      </c>
    </row>
    <row r="124" spans="3:4" x14ac:dyDescent="0.2">
      <c r="C124" s="80">
        <v>44317</v>
      </c>
      <c r="D124" s="25">
        <v>74.989999999999995</v>
      </c>
    </row>
    <row r="125" spans="3:4" x14ac:dyDescent="0.2">
      <c r="C125" s="80">
        <v>44318</v>
      </c>
      <c r="D125" s="25">
        <v>74.989999999999995</v>
      </c>
    </row>
    <row r="126" spans="3:4" x14ac:dyDescent="0.2">
      <c r="C126" s="80">
        <v>44319</v>
      </c>
      <c r="D126" s="25">
        <v>74.989999999999995</v>
      </c>
    </row>
    <row r="127" spans="3:4" x14ac:dyDescent="0.2">
      <c r="C127" s="80">
        <v>44320</v>
      </c>
      <c r="D127" s="25">
        <v>75.34</v>
      </c>
    </row>
    <row r="128" spans="3:4" x14ac:dyDescent="0.2">
      <c r="C128" s="80">
        <v>44321</v>
      </c>
      <c r="D128" s="25">
        <v>75.459999999999994</v>
      </c>
    </row>
    <row r="129" spans="3:4" x14ac:dyDescent="0.2">
      <c r="C129" s="80">
        <v>44322</v>
      </c>
      <c r="D129" s="25">
        <v>75.58</v>
      </c>
    </row>
    <row r="130" spans="3:4" x14ac:dyDescent="0.2">
      <c r="C130" s="80">
        <v>44323</v>
      </c>
      <c r="D130" s="25">
        <v>75.69</v>
      </c>
    </row>
    <row r="131" spans="3:4" x14ac:dyDescent="0.2">
      <c r="C131" s="80">
        <v>44324</v>
      </c>
      <c r="D131" s="25">
        <v>75.81</v>
      </c>
    </row>
    <row r="132" spans="3:4" x14ac:dyDescent="0.2">
      <c r="C132" s="80">
        <v>44325</v>
      </c>
      <c r="D132" s="25">
        <v>75.81</v>
      </c>
    </row>
    <row r="133" spans="3:4" x14ac:dyDescent="0.2">
      <c r="C133" s="80">
        <v>44326</v>
      </c>
      <c r="D133" s="25">
        <v>75.81</v>
      </c>
    </row>
    <row r="134" spans="3:4" x14ac:dyDescent="0.2">
      <c r="C134" s="80">
        <v>44327</v>
      </c>
      <c r="D134" s="25">
        <v>76.17</v>
      </c>
    </row>
    <row r="135" spans="3:4" x14ac:dyDescent="0.2">
      <c r="C135" s="80">
        <v>44328</v>
      </c>
      <c r="D135" s="25">
        <v>76.290000000000006</v>
      </c>
    </row>
    <row r="136" spans="3:4" x14ac:dyDescent="0.2">
      <c r="C136" s="80">
        <v>44329</v>
      </c>
      <c r="D136" s="25">
        <v>76.41</v>
      </c>
    </row>
    <row r="137" spans="3:4" x14ac:dyDescent="0.2">
      <c r="C137" s="80">
        <v>44330</v>
      </c>
      <c r="D137" s="25">
        <v>76.53</v>
      </c>
    </row>
    <row r="138" spans="3:4" x14ac:dyDescent="0.2">
      <c r="C138" s="80">
        <v>44331</v>
      </c>
      <c r="D138" s="25">
        <v>76.650000000000006</v>
      </c>
    </row>
    <row r="139" spans="3:4" x14ac:dyDescent="0.2">
      <c r="C139" s="80">
        <v>44332</v>
      </c>
      <c r="D139" s="25">
        <v>76.650000000000006</v>
      </c>
    </row>
    <row r="140" spans="3:4" x14ac:dyDescent="0.2">
      <c r="C140" s="80">
        <v>44333</v>
      </c>
      <c r="D140" s="25">
        <v>76.650000000000006</v>
      </c>
    </row>
    <row r="141" spans="3:4" x14ac:dyDescent="0.2">
      <c r="C141" s="80">
        <v>44334</v>
      </c>
      <c r="D141" s="25">
        <v>76.97</v>
      </c>
    </row>
    <row r="142" spans="3:4" x14ac:dyDescent="0.2">
      <c r="C142" s="80">
        <v>44335</v>
      </c>
      <c r="D142" s="25">
        <v>77.06</v>
      </c>
    </row>
    <row r="143" spans="3:4" x14ac:dyDescent="0.2">
      <c r="C143" s="80">
        <v>44336</v>
      </c>
      <c r="D143" s="25">
        <v>77.16</v>
      </c>
    </row>
    <row r="144" spans="3:4" x14ac:dyDescent="0.2">
      <c r="C144" s="80">
        <v>44337</v>
      </c>
      <c r="D144" s="25">
        <v>77.260000000000005</v>
      </c>
    </row>
    <row r="145" spans="3:4" x14ac:dyDescent="0.2">
      <c r="C145" s="80">
        <v>44338</v>
      </c>
      <c r="D145" s="25">
        <v>77.37</v>
      </c>
    </row>
    <row r="146" spans="3:4" x14ac:dyDescent="0.2">
      <c r="C146" s="80">
        <v>44339</v>
      </c>
      <c r="D146" s="25">
        <v>77.37</v>
      </c>
    </row>
    <row r="147" spans="3:4" x14ac:dyDescent="0.2">
      <c r="C147" s="80">
        <v>44340</v>
      </c>
      <c r="D147" s="25">
        <v>77.37</v>
      </c>
    </row>
    <row r="148" spans="3:4" x14ac:dyDescent="0.2">
      <c r="C148" s="80">
        <v>44341</v>
      </c>
      <c r="D148" s="25">
        <v>77.37</v>
      </c>
    </row>
    <row r="149" spans="3:4" x14ac:dyDescent="0.2">
      <c r="C149" s="80">
        <v>44342</v>
      </c>
      <c r="D149" s="25">
        <v>77.37</v>
      </c>
    </row>
    <row r="150" spans="3:4" x14ac:dyDescent="0.2">
      <c r="C150" s="80">
        <v>44343</v>
      </c>
      <c r="D150" s="25">
        <v>77.87</v>
      </c>
    </row>
    <row r="151" spans="3:4" x14ac:dyDescent="0.2">
      <c r="C151" s="80">
        <v>44344</v>
      </c>
      <c r="D151" s="25">
        <v>77.97</v>
      </c>
    </row>
    <row r="152" spans="3:4" x14ac:dyDescent="0.2">
      <c r="C152" s="80">
        <v>44345</v>
      </c>
      <c r="D152" s="25">
        <v>78.069999999999993</v>
      </c>
    </row>
    <row r="153" spans="3:4" x14ac:dyDescent="0.2">
      <c r="C153" s="80">
        <v>44346</v>
      </c>
      <c r="D153" s="25">
        <v>78.069999999999993</v>
      </c>
    </row>
    <row r="154" spans="3:4" x14ac:dyDescent="0.2">
      <c r="C154" s="80">
        <v>44347</v>
      </c>
      <c r="D154" s="25">
        <v>78.069999999999993</v>
      </c>
    </row>
    <row r="155" spans="3:4" x14ac:dyDescent="0.2">
      <c r="C155" s="80">
        <v>44348</v>
      </c>
      <c r="D155" s="25">
        <v>78.37</v>
      </c>
    </row>
    <row r="156" spans="3:4" x14ac:dyDescent="0.2">
      <c r="C156" s="80">
        <v>44349</v>
      </c>
      <c r="D156" s="25">
        <v>78.48</v>
      </c>
    </row>
    <row r="157" spans="3:4" x14ac:dyDescent="0.2">
      <c r="C157" s="80">
        <v>44350</v>
      </c>
      <c r="D157" s="25">
        <v>78.58</v>
      </c>
    </row>
    <row r="158" spans="3:4" x14ac:dyDescent="0.2">
      <c r="C158" s="80">
        <v>44351</v>
      </c>
      <c r="D158" s="25">
        <v>78.680000000000007</v>
      </c>
    </row>
    <row r="159" spans="3:4" x14ac:dyDescent="0.2">
      <c r="C159" s="80">
        <v>44352</v>
      </c>
      <c r="D159" s="25">
        <v>78.78</v>
      </c>
    </row>
    <row r="160" spans="3:4" x14ac:dyDescent="0.2">
      <c r="C160" s="80">
        <v>44353</v>
      </c>
      <c r="D160" s="25">
        <v>78.78</v>
      </c>
    </row>
    <row r="161" spans="3:4" x14ac:dyDescent="0.2">
      <c r="C161" s="80">
        <v>44354</v>
      </c>
      <c r="D161" s="25">
        <v>78.78</v>
      </c>
    </row>
    <row r="162" spans="3:4" x14ac:dyDescent="0.2">
      <c r="C162" s="80">
        <v>44355</v>
      </c>
      <c r="D162" s="25">
        <v>79.09</v>
      </c>
    </row>
    <row r="163" spans="3:4" x14ac:dyDescent="0.2">
      <c r="C163" s="80">
        <v>44356</v>
      </c>
      <c r="D163" s="25">
        <v>79.19</v>
      </c>
    </row>
    <row r="164" spans="3:4" x14ac:dyDescent="0.2">
      <c r="C164" s="80">
        <v>44357</v>
      </c>
      <c r="D164" s="25">
        <v>79.290000000000006</v>
      </c>
    </row>
    <row r="165" spans="3:4" x14ac:dyDescent="0.2">
      <c r="C165" s="80">
        <v>44358</v>
      </c>
      <c r="D165" s="25">
        <v>79.400000000000006</v>
      </c>
    </row>
    <row r="166" spans="3:4" x14ac:dyDescent="0.2">
      <c r="C166" s="80">
        <v>44359</v>
      </c>
      <c r="D166" s="25">
        <v>79.5</v>
      </c>
    </row>
    <row r="167" spans="3:4" x14ac:dyDescent="0.2">
      <c r="C167" s="80">
        <v>44360</v>
      </c>
      <c r="D167" s="25">
        <v>79.5</v>
      </c>
    </row>
    <row r="168" spans="3:4" x14ac:dyDescent="0.2">
      <c r="C168" s="80">
        <v>44361</v>
      </c>
      <c r="D168" s="25">
        <v>79.5</v>
      </c>
    </row>
    <row r="169" spans="3:4" x14ac:dyDescent="0.2">
      <c r="C169" s="80">
        <v>44362</v>
      </c>
      <c r="D169" s="25">
        <v>79.81</v>
      </c>
    </row>
    <row r="170" spans="3:4" x14ac:dyDescent="0.2">
      <c r="C170" s="80">
        <v>44363</v>
      </c>
      <c r="D170" s="25">
        <v>79.91</v>
      </c>
    </row>
    <row r="171" spans="3:4" x14ac:dyDescent="0.2">
      <c r="C171" s="80">
        <v>44364</v>
      </c>
      <c r="D171" s="25">
        <v>80</v>
      </c>
    </row>
    <row r="172" spans="3:4" x14ac:dyDescent="0.2">
      <c r="C172" s="80">
        <v>44365</v>
      </c>
      <c r="D172" s="25">
        <v>80.09</v>
      </c>
    </row>
    <row r="173" spans="3:4" x14ac:dyDescent="0.2">
      <c r="C173" s="80">
        <v>44366</v>
      </c>
      <c r="D173" s="25">
        <v>80.17</v>
      </c>
    </row>
    <row r="174" spans="3:4" x14ac:dyDescent="0.2">
      <c r="C174" s="80">
        <v>44367</v>
      </c>
      <c r="D174" s="25">
        <v>80.17</v>
      </c>
    </row>
    <row r="175" spans="3:4" x14ac:dyDescent="0.2">
      <c r="C175" s="80">
        <v>44368</v>
      </c>
      <c r="D175" s="25">
        <v>80.17</v>
      </c>
    </row>
    <row r="176" spans="3:4" x14ac:dyDescent="0.2">
      <c r="C176" s="80">
        <v>44369</v>
      </c>
      <c r="D176" s="25">
        <v>80.17</v>
      </c>
    </row>
    <row r="177" spans="3:4" x14ac:dyDescent="0.2">
      <c r="C177" s="80">
        <v>44370</v>
      </c>
      <c r="D177" s="25">
        <v>80.52</v>
      </c>
    </row>
    <row r="178" spans="3:4" x14ac:dyDescent="0.2">
      <c r="C178" s="80">
        <v>44371</v>
      </c>
      <c r="D178" s="25">
        <v>80.61</v>
      </c>
    </row>
    <row r="179" spans="3:4" x14ac:dyDescent="0.2">
      <c r="C179" s="80">
        <v>44372</v>
      </c>
      <c r="D179" s="25">
        <v>80.7</v>
      </c>
    </row>
    <row r="180" spans="3:4" x14ac:dyDescent="0.2">
      <c r="C180" s="80">
        <v>44373</v>
      </c>
      <c r="D180" s="25">
        <v>80.78</v>
      </c>
    </row>
    <row r="181" spans="3:4" x14ac:dyDescent="0.2">
      <c r="C181" s="80">
        <v>44374</v>
      </c>
      <c r="D181" s="25">
        <v>80.78</v>
      </c>
    </row>
    <row r="182" spans="3:4" x14ac:dyDescent="0.2">
      <c r="C182" s="80">
        <v>44375</v>
      </c>
      <c r="D182" s="25">
        <v>80.78</v>
      </c>
    </row>
    <row r="183" spans="3:4" x14ac:dyDescent="0.2">
      <c r="C183" s="80">
        <v>44376</v>
      </c>
      <c r="D183" s="25">
        <v>81.05</v>
      </c>
    </row>
    <row r="184" spans="3:4" x14ac:dyDescent="0.2">
      <c r="C184" s="80">
        <v>44377</v>
      </c>
      <c r="D184" s="25">
        <v>81.13</v>
      </c>
    </row>
    <row r="185" spans="3:4" x14ac:dyDescent="0.2">
      <c r="C185" s="80">
        <v>44378</v>
      </c>
      <c r="D185" s="25">
        <v>81.22</v>
      </c>
    </row>
    <row r="186" spans="3:4" x14ac:dyDescent="0.2">
      <c r="C186" s="80">
        <v>44379</v>
      </c>
      <c r="D186" s="25">
        <v>81.31</v>
      </c>
    </row>
    <row r="187" spans="3:4" x14ac:dyDescent="0.2">
      <c r="C187" s="80">
        <v>44380</v>
      </c>
      <c r="D187" s="25">
        <v>81.400000000000006</v>
      </c>
    </row>
    <row r="188" spans="3:4" x14ac:dyDescent="0.2">
      <c r="C188" s="80">
        <v>44381</v>
      </c>
      <c r="D188" s="25">
        <v>81.400000000000006</v>
      </c>
    </row>
    <row r="189" spans="3:4" x14ac:dyDescent="0.2">
      <c r="C189" s="80">
        <v>44382</v>
      </c>
      <c r="D189" s="25">
        <v>81.400000000000006</v>
      </c>
    </row>
    <row r="190" spans="3:4" x14ac:dyDescent="0.2">
      <c r="C190" s="80">
        <v>44383</v>
      </c>
      <c r="D190" s="25">
        <v>81.66</v>
      </c>
    </row>
    <row r="191" spans="3:4" x14ac:dyDescent="0.2">
      <c r="C191" s="80">
        <v>44384</v>
      </c>
      <c r="D191" s="25">
        <v>81.75</v>
      </c>
    </row>
    <row r="192" spans="3:4" x14ac:dyDescent="0.2">
      <c r="C192" s="80">
        <v>44385</v>
      </c>
      <c r="D192" s="25">
        <v>81.84</v>
      </c>
    </row>
    <row r="193" spans="3:4" x14ac:dyDescent="0.2">
      <c r="C193" s="80">
        <v>44386</v>
      </c>
      <c r="D193" s="25">
        <v>81.93</v>
      </c>
    </row>
    <row r="194" spans="3:4" x14ac:dyDescent="0.2">
      <c r="C194" s="80">
        <v>44387</v>
      </c>
      <c r="D194" s="25">
        <v>81.93</v>
      </c>
    </row>
    <row r="195" spans="3:4" x14ac:dyDescent="0.2">
      <c r="C195" s="80">
        <v>44388</v>
      </c>
      <c r="D195" s="25">
        <v>81.93</v>
      </c>
    </row>
    <row r="196" spans="3:4" x14ac:dyDescent="0.2">
      <c r="C196" s="80">
        <v>44389</v>
      </c>
      <c r="D196" s="25">
        <v>81.93</v>
      </c>
    </row>
    <row r="197" spans="3:4" x14ac:dyDescent="0.2">
      <c r="C197" s="80">
        <v>44390</v>
      </c>
      <c r="D197" s="25">
        <v>82.28</v>
      </c>
    </row>
    <row r="198" spans="3:4" x14ac:dyDescent="0.2">
      <c r="C198" s="80">
        <v>44391</v>
      </c>
      <c r="D198" s="25">
        <v>82.37</v>
      </c>
    </row>
    <row r="199" spans="3:4" x14ac:dyDescent="0.2">
      <c r="C199" s="80">
        <v>44392</v>
      </c>
      <c r="D199" s="25">
        <v>82.46</v>
      </c>
    </row>
    <row r="200" spans="3:4" x14ac:dyDescent="0.2">
      <c r="C200" s="80">
        <v>44393</v>
      </c>
      <c r="D200" s="25">
        <v>82.55</v>
      </c>
    </row>
    <row r="201" spans="3:4" x14ac:dyDescent="0.2">
      <c r="C201" s="80">
        <v>44394</v>
      </c>
      <c r="D201" s="25">
        <v>82.63</v>
      </c>
    </row>
    <row r="202" spans="3:4" x14ac:dyDescent="0.2">
      <c r="C202" s="80">
        <v>44395</v>
      </c>
      <c r="D202" s="25">
        <v>82.63</v>
      </c>
    </row>
    <row r="203" spans="3:4" x14ac:dyDescent="0.2">
      <c r="C203" s="80">
        <v>44396</v>
      </c>
      <c r="D203" s="25">
        <v>82.63</v>
      </c>
    </row>
    <row r="204" spans="3:4" x14ac:dyDescent="0.2">
      <c r="C204" s="80">
        <v>44397</v>
      </c>
      <c r="D204" s="25">
        <v>82.89</v>
      </c>
    </row>
    <row r="205" spans="3:4" x14ac:dyDescent="0.2">
      <c r="C205" s="80">
        <v>44398</v>
      </c>
      <c r="D205" s="25">
        <v>82.97</v>
      </c>
    </row>
    <row r="206" spans="3:4" x14ac:dyDescent="0.2">
      <c r="C206" s="80">
        <v>44399</v>
      </c>
      <c r="D206" s="25">
        <v>83.06</v>
      </c>
    </row>
    <row r="207" spans="3:4" x14ac:dyDescent="0.2">
      <c r="C207" s="80">
        <v>44400</v>
      </c>
      <c r="D207" s="25">
        <v>83.14</v>
      </c>
    </row>
    <row r="208" spans="3:4" x14ac:dyDescent="0.2">
      <c r="C208" s="80">
        <v>44401</v>
      </c>
      <c r="D208" s="25">
        <v>83.22</v>
      </c>
    </row>
    <row r="209" spans="3:4" x14ac:dyDescent="0.2">
      <c r="C209" s="80">
        <v>44402</v>
      </c>
      <c r="D209" s="25">
        <v>83.22</v>
      </c>
    </row>
    <row r="210" spans="3:4" x14ac:dyDescent="0.2">
      <c r="C210" s="80">
        <v>44403</v>
      </c>
      <c r="D210" s="25">
        <v>83.22</v>
      </c>
    </row>
    <row r="211" spans="3:4" x14ac:dyDescent="0.2">
      <c r="C211" s="80">
        <v>44404</v>
      </c>
      <c r="D211" s="25">
        <v>83.48</v>
      </c>
    </row>
    <row r="212" spans="3:4" x14ac:dyDescent="0.2">
      <c r="C212" s="80">
        <v>44405</v>
      </c>
      <c r="D212" s="25">
        <v>83.56</v>
      </c>
    </row>
    <row r="213" spans="3:4" x14ac:dyDescent="0.2">
      <c r="C213" s="80">
        <v>44406</v>
      </c>
      <c r="D213" s="25">
        <v>83.65</v>
      </c>
    </row>
    <row r="214" spans="3:4" x14ac:dyDescent="0.2">
      <c r="C214" s="80">
        <v>44407</v>
      </c>
      <c r="D214" s="25">
        <v>83.73</v>
      </c>
    </row>
    <row r="215" spans="3:4" x14ac:dyDescent="0.2">
      <c r="C215" s="80">
        <v>44408</v>
      </c>
      <c r="D215" s="25">
        <v>83.82</v>
      </c>
    </row>
    <row r="216" spans="3:4" x14ac:dyDescent="0.2">
      <c r="C216" s="80">
        <v>44409</v>
      </c>
      <c r="D216" s="25">
        <v>83.82</v>
      </c>
    </row>
    <row r="217" spans="3:4" x14ac:dyDescent="0.2">
      <c r="C217" s="80">
        <v>44410</v>
      </c>
      <c r="D217" s="25">
        <v>83.82</v>
      </c>
    </row>
    <row r="218" spans="3:4" x14ac:dyDescent="0.2">
      <c r="C218" s="80">
        <v>44411</v>
      </c>
      <c r="D218" s="25">
        <v>84.07</v>
      </c>
    </row>
    <row r="219" spans="3:4" x14ac:dyDescent="0.2">
      <c r="C219" s="80">
        <v>44412</v>
      </c>
      <c r="D219" s="25">
        <v>84.16</v>
      </c>
    </row>
    <row r="220" spans="3:4" x14ac:dyDescent="0.2">
      <c r="C220" s="80">
        <v>44413</v>
      </c>
      <c r="D220" s="25">
        <v>84.25</v>
      </c>
    </row>
    <row r="221" spans="3:4" x14ac:dyDescent="0.2">
      <c r="C221" s="80">
        <v>44414</v>
      </c>
      <c r="D221" s="25">
        <v>84.33</v>
      </c>
    </row>
    <row r="222" spans="3:4" x14ac:dyDescent="0.2">
      <c r="C222" s="80">
        <v>44415</v>
      </c>
      <c r="D222" s="25">
        <v>84.42</v>
      </c>
    </row>
    <row r="223" spans="3:4" x14ac:dyDescent="0.2">
      <c r="C223" s="80">
        <v>44416</v>
      </c>
      <c r="D223" s="25">
        <v>84.42</v>
      </c>
    </row>
    <row r="224" spans="3:4" x14ac:dyDescent="0.2">
      <c r="C224" s="80">
        <v>44417</v>
      </c>
      <c r="D224" s="25">
        <v>84.42</v>
      </c>
    </row>
    <row r="225" spans="3:4" x14ac:dyDescent="0.2">
      <c r="C225" s="80">
        <v>44418</v>
      </c>
      <c r="D225" s="25">
        <v>84.67</v>
      </c>
    </row>
    <row r="226" spans="3:4" x14ac:dyDescent="0.2">
      <c r="C226" s="120">
        <v>44419</v>
      </c>
      <c r="D226" s="121">
        <v>84.76</v>
      </c>
    </row>
    <row r="227" spans="3:4" x14ac:dyDescent="0.2">
      <c r="C227" s="80">
        <v>44420</v>
      </c>
      <c r="D227" s="25">
        <v>84.85</v>
      </c>
    </row>
    <row r="228" spans="3:4" x14ac:dyDescent="0.2">
      <c r="C228" s="80">
        <v>44421</v>
      </c>
      <c r="D228" s="25">
        <v>84.93</v>
      </c>
    </row>
    <row r="229" spans="3:4" x14ac:dyDescent="0.2">
      <c r="C229" s="80">
        <v>44422</v>
      </c>
      <c r="D229" s="25">
        <v>85.02</v>
      </c>
    </row>
    <row r="230" spans="3:4" x14ac:dyDescent="0.2">
      <c r="C230" s="80">
        <v>44423</v>
      </c>
      <c r="D230" s="25">
        <v>85.02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Barragan</vt:lpstr>
      <vt:lpstr>Clase 1 DL</vt:lpstr>
      <vt:lpstr>Clase 2 UVA</vt:lpstr>
      <vt:lpstr>Inputs</vt:lpstr>
    </vt:vector>
  </TitlesOfParts>
  <Company>Banco Itau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Ponieman</dc:creator>
  <cp:lastModifiedBy>clara finger</cp:lastModifiedBy>
  <cp:lastPrinted>2012-07-11T16:27:23Z</cp:lastPrinted>
  <dcterms:created xsi:type="dcterms:W3CDTF">2012-05-11T18:43:00Z</dcterms:created>
  <dcterms:modified xsi:type="dcterms:W3CDTF">2021-08-12T15:30:17Z</dcterms:modified>
</cp:coreProperties>
</file>